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0" yWindow="80" windowWidth="25740" windowHeight="12260" tabRatio="1000" firstSheet="2" activeTab="12"/>
  </bookViews>
  <sheets>
    <sheet name="Ranquing Inicial" sheetId="1" r:id="rId1"/>
    <sheet name="Fase Grups" sheetId="2" r:id="rId2"/>
    <sheet name="Fase Final" sheetId="3" r:id="rId3"/>
    <sheet name="Sabado A C F H J L N P" sheetId="4" r:id="rId4"/>
    <sheet name="Domingo B D E G I K M O" sheetId="5" r:id="rId5"/>
    <sheet name="Clasificación Grupos" sheetId="6" r:id="rId6"/>
    <sheet name="16aus" sheetId="7" r:id="rId7"/>
    <sheet name="Clasificación 16" sheetId="8" r:id="rId8"/>
    <sheet name="8ens" sheetId="9" r:id="rId9"/>
    <sheet name="Clasificación 8" sheetId="10" r:id="rId10"/>
    <sheet name="Clasificación 4" sheetId="11" r:id="rId11"/>
    <sheet name="Quarts Semis y Final" sheetId="12" r:id="rId12"/>
    <sheet name="Clasificación Final" sheetId="13" r:id="rId13"/>
  </sheets>
  <definedNames>
    <definedName name="_xlnm.Print_Area" localSheetId="6">'16aus'!$C$6:$L$38</definedName>
    <definedName name="_xlnm.Print_Area" localSheetId="8">'8ens'!$C$7:$L$22</definedName>
    <definedName name="_xlnm.Print_Area" localSheetId="7">'Clasificación 16'!$B$7:$H$22</definedName>
    <definedName name="_xlnm.Print_Area" localSheetId="10">'Clasificación 4'!$B$6:$H$10</definedName>
    <definedName name="_xlnm.Print_Area" localSheetId="9">'Clasificación 8'!$B$6:$H$14</definedName>
    <definedName name="_xlnm.Print_Area" localSheetId="12">'Clasificación Final'!$B$7:$I$70</definedName>
    <definedName name="_xlnm.Print_Area" localSheetId="5">'Clasificación Grupos'!$B$7:$H$22</definedName>
    <definedName name="_xlnm.Print_Area" localSheetId="4">'Domingo B D E G I K M O'!$C$5:$L$115</definedName>
    <definedName name="_xlnm.Print_Area" localSheetId="2">'Fase Final'!$B$2:$N$24</definedName>
    <definedName name="_xlnm.Print_Area" localSheetId="1">'Fase Grups'!$B$2:$W$53</definedName>
    <definedName name="_xlnm.Print_Area" localSheetId="11">'Quarts Semis y Final'!$C$6:$L$28</definedName>
    <definedName name="_xlnm.Print_Area" localSheetId="0">'Ranquing Inicial'!$B$2:$V$69</definedName>
    <definedName name="_xlnm.Print_Area" localSheetId="3">'Sabado A C F H J L N P'!$C$7:$L$116</definedName>
    <definedName name="_xlnm.Print_Titles" localSheetId="6">'16aus'!$2:$5</definedName>
    <definedName name="_xlnm.Print_Titles" localSheetId="8">'8ens'!$2:$5</definedName>
    <definedName name="_xlnm.Print_Titles" localSheetId="7">'Clasificación 16'!$1:$6</definedName>
    <definedName name="_xlnm.Print_Titles" localSheetId="10">'Clasificación 4'!$1:$6</definedName>
    <definedName name="_xlnm.Print_Titles" localSheetId="9">'Clasificación 8'!$1:$6</definedName>
    <definedName name="_xlnm.Print_Titles" localSheetId="12">'Clasificación Final'!$1:$6</definedName>
    <definedName name="_xlnm.Print_Titles" localSheetId="5">'Clasificación Grupos'!$1:$6</definedName>
    <definedName name="_xlnm.Print_Titles" localSheetId="4">'Domingo B D E G I K M O'!$2:$5</definedName>
    <definedName name="_xlnm.Print_Titles" localSheetId="11">'Quarts Semis y Final'!$2:$5</definedName>
    <definedName name="_xlnm.Print_Titles" localSheetId="3">'Sabado A C F H J L N P'!$2:$5</definedName>
  </definedNames>
  <calcPr fullCalcOnLoad="1"/>
</workbook>
</file>

<file path=xl/sharedStrings.xml><?xml version="1.0" encoding="utf-8"?>
<sst xmlns="http://schemas.openxmlformats.org/spreadsheetml/2006/main" count="1605" uniqueCount="351">
  <si>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</si>
  <si>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</si>
  <si>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</si>
  <si>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</si>
  <si>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</si>
  <si>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</si>
  <si>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</si>
  <si>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</si>
  <si>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</si>
  <si>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</si>
  <si>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</si>
  <si>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</si>
  <si>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</si>
  <si>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</si>
  <si>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</si>
  <si>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</si>
  <si>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JUGADOR</t>
  </si>
  <si>
    <t>CLUB</t>
  </si>
  <si>
    <t>RANQUING CATALA</t>
  </si>
  <si>
    <t xml:space="preserve">FACTOR </t>
  </si>
  <si>
    <t>MITJANA</t>
  </si>
  <si>
    <t>C.B. VIC</t>
  </si>
  <si>
    <t>ANTONIO MONTES MONFERRER</t>
  </si>
  <si>
    <t>C.B. LLEIDA</t>
  </si>
  <si>
    <t>JAVIER YESTE DE PABLO</t>
  </si>
  <si>
    <t>ESTEVE MATA PARDO</t>
  </si>
  <si>
    <t>C.B. MOLLET</t>
  </si>
  <si>
    <t>C.B. BARCELONA</t>
  </si>
  <si>
    <t>JUANJO PINEDA LAFUENTE</t>
  </si>
  <si>
    <t>C.B. SANTS</t>
  </si>
  <si>
    <t>S.B. FOMENT MOLINS</t>
  </si>
  <si>
    <t>XAVIER FONELLOSA CASANOVAS</t>
  </si>
  <si>
    <t>C.B. MONFORTE</t>
  </si>
  <si>
    <t>MANUEL PASTOR RIVAS</t>
  </si>
  <si>
    <t>C.B. SANT BOI</t>
  </si>
  <si>
    <t>JAUME CARRERAS BATLLE</t>
  </si>
  <si>
    <t>C.B. LLINARS</t>
  </si>
  <si>
    <t>RICARD FIOL MESZAROS</t>
  </si>
  <si>
    <t>C.B. MANRESA</t>
  </si>
  <si>
    <t>JOSEP BARGALLO JAUME</t>
  </si>
  <si>
    <t>JOAN CARLES FONTANET BELLES</t>
  </si>
  <si>
    <t>RAFAEL SOTO SEGURA</t>
  </si>
  <si>
    <t>JORDI OLIVER SINCA</t>
  </si>
  <si>
    <t>JUAN ROJALS VALLS</t>
  </si>
  <si>
    <t>MANEL LOZANO HERRERO</t>
  </si>
  <si>
    <t>JOAN ANTONI NAVARRO CARMONA</t>
  </si>
  <si>
    <t>MANUEL CUENCA PARDO</t>
  </si>
  <si>
    <t>JOHN JAIRO ZULETA GIRALDO</t>
  </si>
  <si>
    <t>MANUEL SOTOMAYOR PLATA</t>
  </si>
  <si>
    <t>IGNACIO MORUNO RAYA</t>
  </si>
  <si>
    <t>DAVID BOSQUED TORE</t>
  </si>
  <si>
    <t>ENRIC AGUILAR FAYOS</t>
  </si>
  <si>
    <t>LINO BRIZZI</t>
  </si>
  <si>
    <t>DAVID FIOL ALONSO</t>
  </si>
  <si>
    <t>ENRIQUE YAÑEZ ACUÑA</t>
  </si>
  <si>
    <t>JAUME BERNAD DAZA</t>
  </si>
  <si>
    <t>JOAN RALITA ROS</t>
  </si>
  <si>
    <t>ENRIC BAS PASTOR</t>
  </si>
  <si>
    <t>ANTONIO MONTES GALLARDO</t>
  </si>
  <si>
    <t>ANTONI ROSES GUITART</t>
  </si>
  <si>
    <t>LUIS NAVARRO DE LOS SANTOS</t>
  </si>
  <si>
    <t>LLORENÇ BADIA BOSQUE</t>
  </si>
  <si>
    <t>MARTA SERRAMITJANA JUAN</t>
  </si>
  <si>
    <t>ALBERT FRANQUET MASIP</t>
  </si>
  <si>
    <t>A1</t>
  </si>
  <si>
    <t>A2</t>
  </si>
  <si>
    <t>A3</t>
  </si>
  <si>
    <t>B1</t>
  </si>
  <si>
    <t>B2</t>
  </si>
  <si>
    <t>B3</t>
  </si>
  <si>
    <t>C1</t>
  </si>
  <si>
    <t>C2</t>
  </si>
  <si>
    <t>BILLAR</t>
  </si>
  <si>
    <t>C3</t>
  </si>
  <si>
    <t>HORA</t>
  </si>
  <si>
    <t>D1</t>
  </si>
  <si>
    <t>D2</t>
  </si>
  <si>
    <t>D3</t>
  </si>
  <si>
    <t>E1</t>
  </si>
  <si>
    <t>E2</t>
  </si>
  <si>
    <t>E3</t>
  </si>
  <si>
    <t>F1</t>
  </si>
  <si>
    <t>F2</t>
  </si>
  <si>
    <t>F3</t>
  </si>
  <si>
    <t>G1</t>
  </si>
  <si>
    <t>G2</t>
  </si>
  <si>
    <t>G3</t>
  </si>
  <si>
    <t>H1</t>
  </si>
  <si>
    <t>H2</t>
  </si>
  <si>
    <t>H3</t>
  </si>
  <si>
    <t>I1</t>
  </si>
  <si>
    <t>I2</t>
  </si>
  <si>
    <t>I3</t>
  </si>
  <si>
    <t>J1</t>
  </si>
  <si>
    <t>J2</t>
  </si>
  <si>
    <t>J3</t>
  </si>
  <si>
    <t>K1</t>
  </si>
  <si>
    <t>K2</t>
  </si>
  <si>
    <t>K3</t>
  </si>
  <si>
    <t>L1</t>
  </si>
  <si>
    <t>L2</t>
  </si>
  <si>
    <t>L3</t>
  </si>
  <si>
    <t>M1</t>
  </si>
  <si>
    <t>M2</t>
  </si>
  <si>
    <t>M3</t>
  </si>
  <si>
    <t>N1</t>
  </si>
  <si>
    <t>N2</t>
  </si>
  <si>
    <t>N3</t>
  </si>
  <si>
    <t>O1</t>
  </si>
  <si>
    <t>O2</t>
  </si>
  <si>
    <t>O3</t>
  </si>
  <si>
    <t>P1</t>
  </si>
  <si>
    <t>P2</t>
  </si>
  <si>
    <t>P3</t>
  </si>
  <si>
    <t xml:space="preserve">ES RECORDA QUE S'HA DE ESTAR A TAULA  QUINCE MINUTS ABANS DE L'HORA </t>
  </si>
  <si>
    <t>PER TENIR DRET ALS CINC MINUTS DE CALENTAMENT.</t>
  </si>
  <si>
    <t xml:space="preserve">EL JUGADOR DEL GRUP QUE NO JUGA HA D'ARBITRAR LA PARTIDA DELS SEUS </t>
  </si>
  <si>
    <t>COMPANYS DE GRUP.</t>
  </si>
  <si>
    <t>FASE DE GRUPS;</t>
  </si>
  <si>
    <t>LES PARTIDES SERAN A 30 CARAMBOLES AMB LIMITACIO DE 50 ENTRADES</t>
  </si>
  <si>
    <t xml:space="preserve">ES CLASSIFICARAN ELS PRIMERS DE CADA GRUP, PER JUGAR </t>
  </si>
  <si>
    <t>LA FASE FINAL, AMB ELS SETZE EXENTS.</t>
  </si>
  <si>
    <t>A1- PERD A</t>
  </si>
  <si>
    <t>J1- PERD J</t>
  </si>
  <si>
    <t>A1- GAN A</t>
  </si>
  <si>
    <t>J1- GAN J</t>
  </si>
  <si>
    <t>C1- PERD C</t>
  </si>
  <si>
    <t>L1- PERD L</t>
  </si>
  <si>
    <t>C1- GAN C</t>
  </si>
  <si>
    <t>L1- GAN L</t>
  </si>
  <si>
    <t>F1- PERD F</t>
  </si>
  <si>
    <t>N1- PERD N</t>
  </si>
  <si>
    <t>F1- GAN F</t>
  </si>
  <si>
    <t>N1- GAN N</t>
  </si>
  <si>
    <t>H1- PERD H</t>
  </si>
  <si>
    <t>P1- PERD P</t>
  </si>
  <si>
    <t>H1- GAN H</t>
  </si>
  <si>
    <t>P1- GAN P</t>
  </si>
  <si>
    <t>B1- PERD B</t>
  </si>
  <si>
    <t>I1- PERD I</t>
  </si>
  <si>
    <t>B1- GAN B</t>
  </si>
  <si>
    <t>I1- GAN I</t>
  </si>
  <si>
    <t>D1- PERD D</t>
  </si>
  <si>
    <t>K1- PERD K</t>
  </si>
  <si>
    <t>D1- GAN D</t>
  </si>
  <si>
    <t>K1- GAN K</t>
  </si>
  <si>
    <t>E1- PERD E</t>
  </si>
  <si>
    <t>M1- PERD M</t>
  </si>
  <si>
    <t>E1- GAN E</t>
  </si>
  <si>
    <t>M1- GAN M</t>
  </si>
  <si>
    <t>G1- PERD G</t>
  </si>
  <si>
    <t>O1- PERD O</t>
  </si>
  <si>
    <t>G1- GAN G</t>
  </si>
  <si>
    <t>O1- GAN O</t>
  </si>
  <si>
    <t>A2 - A3</t>
  </si>
  <si>
    <t>J2 - J3</t>
  </si>
  <si>
    <t>C2 - C3</t>
  </si>
  <si>
    <t>L2 - L3</t>
  </si>
  <si>
    <t>F2 - F3</t>
  </si>
  <si>
    <t>N2 - N3</t>
  </si>
  <si>
    <t>H2 - H3</t>
  </si>
  <si>
    <t>P2 - P3</t>
  </si>
  <si>
    <t>B2 - B3</t>
  </si>
  <si>
    <t>I2 - I3</t>
  </si>
  <si>
    <t>D2 - D3</t>
  </si>
  <si>
    <t>K2 - K3</t>
  </si>
  <si>
    <t>E2 - E3</t>
  </si>
  <si>
    <t>M2 - M3</t>
  </si>
  <si>
    <t>G2 - G3</t>
  </si>
  <si>
    <t>O2 - O3</t>
  </si>
  <si>
    <t>DISSABTE, 5 DE DESEMBRE DE 2015</t>
  </si>
  <si>
    <t>DIUMENGE, 6 DE DESEMBRE DE 2015</t>
  </si>
  <si>
    <t>RK inicio</t>
  </si>
  <si>
    <t>I OPEN TRES BANDES C.B. MONFORTE</t>
  </si>
  <si>
    <t>ES PREGA LA MAXIMA PUNTUALITAT POSIBLE.</t>
  </si>
  <si>
    <t>DESENVOLUPAMENT     FASE DE GRUPS</t>
  </si>
  <si>
    <t>DILLUNS 07/12/15</t>
  </si>
  <si>
    <t>16aus DE FINAL</t>
  </si>
  <si>
    <t>8ens DE FINAL</t>
  </si>
  <si>
    <t>QUARTS DE FINAL</t>
  </si>
  <si>
    <t>SEMIFINALS</t>
  </si>
  <si>
    <t>FINAL</t>
  </si>
  <si>
    <t>SISTEMA DE KO DIRECTE</t>
  </si>
  <si>
    <t>DESENVOLUPAMENT     FASE FINAL</t>
  </si>
  <si>
    <t>13 - 20</t>
  </si>
  <si>
    <t>9 - 24</t>
  </si>
  <si>
    <t>5 - 28</t>
  </si>
  <si>
    <t>1 - 32</t>
  </si>
  <si>
    <t>5 - 12</t>
  </si>
  <si>
    <t>1 - 16</t>
  </si>
  <si>
    <t>14 - 19</t>
  </si>
  <si>
    <t>10 - 23</t>
  </si>
  <si>
    <t>6 - 27</t>
  </si>
  <si>
    <t>2 - 31</t>
  </si>
  <si>
    <t>6 - 11</t>
  </si>
  <si>
    <t>2 - 15</t>
  </si>
  <si>
    <t>15 - 18</t>
  </si>
  <si>
    <t>11 - 22</t>
  </si>
  <si>
    <t>7 - 26</t>
  </si>
  <si>
    <t>3 - 30</t>
  </si>
  <si>
    <t>7 - 10</t>
  </si>
  <si>
    <t>3 - 14</t>
  </si>
  <si>
    <t>16 - 17</t>
  </si>
  <si>
    <t>12 - 21</t>
  </si>
  <si>
    <t>8 - 25</t>
  </si>
  <si>
    <t>4 - 29</t>
  </si>
  <si>
    <t>8 - 9</t>
  </si>
  <si>
    <t>4 - 13</t>
  </si>
  <si>
    <t>1 - 8</t>
  </si>
  <si>
    <t>1 - 4</t>
  </si>
  <si>
    <t>2 - 7</t>
  </si>
  <si>
    <t>1 - 2</t>
  </si>
  <si>
    <t>3 - 6</t>
  </si>
  <si>
    <t>4 - 5</t>
  </si>
  <si>
    <t>2 - 3</t>
  </si>
  <si>
    <t>DIMARTS 08/12/15</t>
  </si>
  <si>
    <t>ARMANDO MORENO CORTÉS</t>
  </si>
  <si>
    <t>XAVIER MINGUELL ROSELLÓ</t>
  </si>
  <si>
    <t>ANTONIO MARTÍNEZ CARRILLO</t>
  </si>
  <si>
    <t>JESÚS GONZÁLEZ LÓPEZ</t>
  </si>
  <si>
    <t>RAFAEL GASCÓN REYES</t>
  </si>
  <si>
    <t>JESÚS LUQUE MARTÍNEZ</t>
  </si>
  <si>
    <t>JONATAN HERNÁNDEZ LÓPEZ</t>
  </si>
  <si>
    <t>FRANCISCO HERNÁNDEZ HERNÁNDEZ</t>
  </si>
  <si>
    <t>FRANCISCO MULA CALLEJÓN</t>
  </si>
  <si>
    <t>RAFAEL SALAZAR HERNÁNDEZ</t>
  </si>
  <si>
    <t>ANTONIO GARCÍA SORIANO</t>
  </si>
  <si>
    <t>JOSÉ LUIS GONZÁLEZ SÁNCHEZ</t>
  </si>
  <si>
    <t>RAFAEL PÉREZ ZORRILLA</t>
  </si>
  <si>
    <t>JAVIER MARTÍNEZ ALBERTO</t>
  </si>
  <si>
    <t>YHOJAN DEIBIS FERNÁNDEZ</t>
  </si>
  <si>
    <t>MIGUEL SÁNCHEZ BARRERA</t>
  </si>
  <si>
    <t>RAMÓN ARBIOL MORERA</t>
  </si>
  <si>
    <t>VICENTE ALBERICH SÁNCHEZ</t>
  </si>
  <si>
    <t>MANEL PARÉS HERRERA</t>
  </si>
  <si>
    <t>JOSÉ MANUEL LORENTE GARCÍA</t>
  </si>
  <si>
    <t>JORDI ARMENGOL BERTRÁN</t>
  </si>
  <si>
    <t>RICARDO GARCÍA ZALDÍVAR</t>
  </si>
  <si>
    <t>HENRY CASTRO TÉLLEZ</t>
  </si>
  <si>
    <t>JOAN HERNÁNDEZ MÁRQUEZ</t>
  </si>
  <si>
    <t>VALENTÍN CARRILLO LETONA</t>
  </si>
  <si>
    <t>ANTONIO GARCÍA GÓMEZ</t>
  </si>
  <si>
    <t>CARLES SÁNCHEZ TRIGUEROS</t>
  </si>
  <si>
    <t>ESTEBAN LEÓN PUIG</t>
  </si>
  <si>
    <t>C.B. SANT ADRIÁ</t>
  </si>
  <si>
    <t>C.B. MONTMELÓ</t>
  </si>
  <si>
    <t>C.B. MATARÓ</t>
  </si>
  <si>
    <t>S.B. CORAL COLÓN</t>
  </si>
  <si>
    <t>LES PARTIDES ES JUGARAN A 40 CARAMBOLES, AMB LIMITACIÓ DE 50 ENTRADES</t>
  </si>
  <si>
    <t>C.B. PREMIÀ</t>
  </si>
  <si>
    <t>B.C. GRANOLLERS</t>
  </si>
  <si>
    <t>RICARDO GARCÍA ALARCÓN</t>
  </si>
  <si>
    <t>JUAN BOUTERÍN BOTE</t>
  </si>
  <si>
    <t>JOSEP MARTÍN VÍLCHEZ</t>
  </si>
  <si>
    <t>JOSEP BARGALLÓ JAUME</t>
  </si>
  <si>
    <t>DAVID BOSQUED TORÉ</t>
  </si>
  <si>
    <t>ENRIC AGUILAR FAYÓS</t>
  </si>
  <si>
    <t>LLORENÇ BADÍA BOSQUE</t>
  </si>
  <si>
    <t>RÀNQUING INICIAL</t>
  </si>
  <si>
    <t>C.B. SANT ADRIÀ</t>
  </si>
  <si>
    <t>C.B. PRAT</t>
  </si>
  <si>
    <t>C.B. MONT-ROIG</t>
  </si>
  <si>
    <t>Jugador</t>
  </si>
  <si>
    <t>c</t>
  </si>
  <si>
    <t>e</t>
  </si>
  <si>
    <t>%</t>
  </si>
  <si>
    <t>SM</t>
  </si>
  <si>
    <t>Puntos</t>
  </si>
  <si>
    <t>RK</t>
  </si>
  <si>
    <t>Clas,</t>
  </si>
  <si>
    <t>clas.</t>
  </si>
  <si>
    <t>Clas.</t>
  </si>
  <si>
    <t>desempates</t>
  </si>
  <si>
    <t>FASE DE GRUPS              dissabte, 5 / desembre / 2015</t>
  </si>
  <si>
    <t>Primeros</t>
  </si>
  <si>
    <t>Segundos</t>
  </si>
  <si>
    <t>Terceros</t>
  </si>
  <si>
    <t>1os</t>
  </si>
  <si>
    <t>2os</t>
  </si>
  <si>
    <t>3os</t>
  </si>
  <si>
    <t>fila</t>
  </si>
  <si>
    <t>Ordenar                        Rango      AJ15:AQ38</t>
  </si>
  <si>
    <t>Ordenar                         Rango      AS15:AZ38</t>
  </si>
  <si>
    <r>
      <t>1º          AZ</t>
    </r>
    <r>
      <rPr>
        <sz val="11"/>
        <rFont val="Arial"/>
        <family val="2"/>
      </rPr>
      <t>d</t>
    </r>
  </si>
  <si>
    <r>
      <t>2º          AX</t>
    </r>
    <r>
      <rPr>
        <sz val="11"/>
        <rFont val="Arial"/>
        <family val="2"/>
      </rPr>
      <t>d</t>
    </r>
  </si>
  <si>
    <r>
      <t>3º          AY</t>
    </r>
    <r>
      <rPr>
        <sz val="11"/>
        <rFont val="Arial"/>
        <family val="2"/>
      </rPr>
      <t>d</t>
    </r>
  </si>
  <si>
    <r>
      <t>1º          AQ</t>
    </r>
    <r>
      <rPr>
        <sz val="11"/>
        <rFont val="Arial"/>
        <family val="2"/>
      </rPr>
      <t>d</t>
    </r>
  </si>
  <si>
    <r>
      <t>2º          AO</t>
    </r>
    <r>
      <rPr>
        <sz val="11"/>
        <rFont val="Arial"/>
        <family val="2"/>
      </rPr>
      <t>d</t>
    </r>
  </si>
  <si>
    <r>
      <t>3º          AP</t>
    </r>
    <r>
      <rPr>
        <sz val="11"/>
        <rFont val="Arial"/>
        <family val="2"/>
      </rPr>
      <t>d</t>
    </r>
  </si>
  <si>
    <t>Se ha de ordenar cada vez de forma manual</t>
  </si>
  <si>
    <r>
      <t>En "</t>
    </r>
    <r>
      <rPr>
        <b/>
        <sz val="10"/>
        <rFont val="Arial"/>
        <family val="2"/>
      </rPr>
      <t>Clasificacion grupos</t>
    </r>
    <r>
      <rPr>
        <sz val="10"/>
        <rFont val="Arial"/>
        <family val="0"/>
      </rPr>
      <t>", juntaremos sábado y domingo</t>
    </r>
  </si>
  <si>
    <t>Ordenar                         Rango      BB15:BI38</t>
  </si>
  <si>
    <r>
      <t>1º          BI</t>
    </r>
    <r>
      <rPr>
        <sz val="11"/>
        <rFont val="Arial"/>
        <family val="2"/>
      </rPr>
      <t>d</t>
    </r>
  </si>
  <si>
    <r>
      <t>2º          BG</t>
    </r>
    <r>
      <rPr>
        <sz val="11"/>
        <rFont val="Arial"/>
        <family val="2"/>
      </rPr>
      <t>d</t>
    </r>
  </si>
  <si>
    <r>
      <t>3º          BH</t>
    </r>
    <r>
      <rPr>
        <sz val="11"/>
        <rFont val="Arial"/>
        <family val="2"/>
      </rPr>
      <t>d</t>
    </r>
  </si>
  <si>
    <r>
      <t xml:space="preserve">Aquí tenemos la lista ordenada de los </t>
    </r>
    <r>
      <rPr>
        <b/>
        <sz val="10"/>
        <rFont val="Arial"/>
        <family val="2"/>
      </rPr>
      <t>8 primeros</t>
    </r>
    <r>
      <rPr>
        <sz val="10"/>
        <rFont val="Arial"/>
        <family val="0"/>
      </rPr>
      <t xml:space="preserve"> (sábado)</t>
    </r>
  </si>
  <si>
    <r>
      <t xml:space="preserve">Aquí tenemos la lista ordenada de los </t>
    </r>
    <r>
      <rPr>
        <b/>
        <sz val="10"/>
        <rFont val="Arial"/>
        <family val="2"/>
      </rPr>
      <t>8 segundos</t>
    </r>
    <r>
      <rPr>
        <sz val="10"/>
        <rFont val="Arial"/>
        <family val="0"/>
      </rPr>
      <t xml:space="preserve"> (sábado)</t>
    </r>
  </si>
  <si>
    <r>
      <t xml:space="preserve">Aquí tenemos la lista ordenada de los </t>
    </r>
    <r>
      <rPr>
        <b/>
        <sz val="10"/>
        <rFont val="Arial"/>
        <family val="2"/>
      </rPr>
      <t>8 terceros</t>
    </r>
    <r>
      <rPr>
        <sz val="10"/>
        <rFont val="Arial"/>
        <family val="0"/>
      </rPr>
      <t xml:space="preserve"> (sábado)</t>
    </r>
  </si>
  <si>
    <t>Enrades</t>
  </si>
  <si>
    <t>Caramboles</t>
  </si>
  <si>
    <t>Sèrie major</t>
  </si>
  <si>
    <t>Punts</t>
  </si>
  <si>
    <t>FASE DE GRUPS            diumenge, 6 / desembre / 2015</t>
  </si>
  <si>
    <t>Classificació Grups</t>
  </si>
  <si>
    <t>Copiar a Clasificaciíon Grupos</t>
  </si>
  <si>
    <t>Mesa 1</t>
  </si>
  <si>
    <t>Mesa 2</t>
  </si>
  <si>
    <t>Mesa 4</t>
  </si>
  <si>
    <t>Mesa 3</t>
  </si>
  <si>
    <t>Mitjana</t>
  </si>
  <si>
    <t>Mesa1</t>
  </si>
  <si>
    <t>RONDA   1</t>
  </si>
  <si>
    <t>RONDA   2</t>
  </si>
  <si>
    <t>RONDA   3</t>
  </si>
  <si>
    <t>RONDA   4</t>
  </si>
  <si>
    <t>Classificació 16ens</t>
  </si>
  <si>
    <r>
      <t>8ens de FINAL</t>
    </r>
    <r>
      <rPr>
        <b/>
        <sz val="13"/>
        <rFont val="Arial"/>
        <family val="2"/>
      </rPr>
      <t xml:space="preserve">            dilluns, 7 / desembre / 2015</t>
    </r>
  </si>
  <si>
    <r>
      <t>16aus de FINAL</t>
    </r>
    <r>
      <rPr>
        <b/>
        <sz val="13"/>
        <rFont val="Arial"/>
        <family val="2"/>
      </rPr>
      <t xml:space="preserve">            dilluns, 7 / desembre / 2015</t>
    </r>
  </si>
  <si>
    <r>
      <t>Quarts de Final</t>
    </r>
    <r>
      <rPr>
        <b/>
        <sz val="13"/>
        <rFont val="Arial"/>
        <family val="2"/>
      </rPr>
      <t xml:space="preserve">            dimarts, 8 / desembre / 2015</t>
    </r>
  </si>
  <si>
    <t/>
  </si>
  <si>
    <r>
      <t>1º          AU</t>
    </r>
    <r>
      <rPr>
        <sz val="11"/>
        <rFont val="Arial"/>
        <family val="2"/>
      </rPr>
      <t>d</t>
    </r>
  </si>
  <si>
    <r>
      <t>2º          AS</t>
    </r>
    <r>
      <rPr>
        <sz val="11"/>
        <rFont val="Arial"/>
        <family val="2"/>
      </rPr>
      <t>d</t>
    </r>
  </si>
  <si>
    <r>
      <t>3º          AT</t>
    </r>
    <r>
      <rPr>
        <sz val="11"/>
        <rFont val="Arial"/>
        <family val="2"/>
      </rPr>
      <t>d</t>
    </r>
  </si>
  <si>
    <r>
      <t>1º          AL</t>
    </r>
    <r>
      <rPr>
        <sz val="11"/>
        <rFont val="Arial"/>
        <family val="2"/>
      </rPr>
      <t>d</t>
    </r>
  </si>
  <si>
    <r>
      <t>2º          AJ</t>
    </r>
    <r>
      <rPr>
        <sz val="11"/>
        <rFont val="Arial"/>
        <family val="2"/>
      </rPr>
      <t>d</t>
    </r>
  </si>
  <si>
    <r>
      <t>3º          AK</t>
    </r>
    <r>
      <rPr>
        <sz val="11"/>
        <rFont val="Arial"/>
        <family val="2"/>
      </rPr>
      <t>d</t>
    </r>
  </si>
  <si>
    <t>Classificació final</t>
  </si>
  <si>
    <r>
      <t>3</t>
    </r>
    <r>
      <rPr>
        <b/>
        <sz val="14"/>
        <rFont val="Arial"/>
        <family val="2"/>
      </rPr>
      <t>os</t>
    </r>
    <r>
      <rPr>
        <b/>
        <sz val="20"/>
        <rFont val="Arial"/>
        <family val="2"/>
      </rPr>
      <t xml:space="preserve">   Grupos</t>
    </r>
  </si>
  <si>
    <r>
      <t>2</t>
    </r>
    <r>
      <rPr>
        <b/>
        <sz val="14"/>
        <rFont val="Arial"/>
        <family val="2"/>
      </rPr>
      <t>os</t>
    </r>
    <r>
      <rPr>
        <b/>
        <sz val="20"/>
        <rFont val="Arial"/>
        <family val="2"/>
      </rPr>
      <t xml:space="preserve">   Grupos</t>
    </r>
  </si>
  <si>
    <r>
      <t>16</t>
    </r>
    <r>
      <rPr>
        <b/>
        <sz val="14"/>
        <rFont val="Arial"/>
        <family val="2"/>
      </rPr>
      <t>avos</t>
    </r>
  </si>
  <si>
    <r>
      <t>8</t>
    </r>
    <r>
      <rPr>
        <b/>
        <sz val="14"/>
        <rFont val="Arial"/>
        <family val="2"/>
      </rPr>
      <t>ens</t>
    </r>
    <r>
      <rPr>
        <b/>
        <sz val="20"/>
        <rFont val="Arial"/>
        <family val="2"/>
      </rPr>
      <t xml:space="preserve"> de Final</t>
    </r>
  </si>
  <si>
    <t>Quarts</t>
  </si>
  <si>
    <t>Semis</t>
  </si>
  <si>
    <t>QUARTS</t>
  </si>
  <si>
    <t>Classificació 8ens</t>
  </si>
  <si>
    <r>
      <t>Quarts de FINAL</t>
    </r>
    <r>
      <rPr>
        <b/>
        <sz val="13"/>
        <rFont val="Arial"/>
        <family val="2"/>
      </rPr>
      <t xml:space="preserve">            dimarts, 8 / desembre / 2015</t>
    </r>
  </si>
  <si>
    <t>SEMIS</t>
  </si>
  <si>
    <r>
      <t xml:space="preserve">Semifinals            </t>
    </r>
    <r>
      <rPr>
        <b/>
        <sz val="13"/>
        <rFont val="Arial"/>
        <family val="2"/>
      </rPr>
      <t xml:space="preserve">         dimarts, 8 / desembre / 2015</t>
    </r>
  </si>
  <si>
    <t>Classificació Quarts de Final</t>
  </si>
  <si>
    <r>
      <t>1º          AL</t>
    </r>
    <r>
      <rPr>
        <sz val="11"/>
        <color indexed="12"/>
        <rFont val="Arial"/>
        <family val="0"/>
      </rPr>
      <t>d</t>
    </r>
  </si>
  <si>
    <r>
      <t>2º          AJ</t>
    </r>
    <r>
      <rPr>
        <sz val="11"/>
        <color indexed="12"/>
        <rFont val="Arial"/>
        <family val="0"/>
      </rPr>
      <t>d</t>
    </r>
  </si>
  <si>
    <r>
      <t>3º          AK</t>
    </r>
    <r>
      <rPr>
        <sz val="11"/>
        <color indexed="12"/>
        <rFont val="Arial"/>
        <family val="0"/>
      </rPr>
      <t>d</t>
    </r>
  </si>
  <si>
    <r>
      <t>1º          AU</t>
    </r>
    <r>
      <rPr>
        <sz val="11"/>
        <color indexed="12"/>
        <rFont val="Arial"/>
        <family val="0"/>
      </rPr>
      <t>d</t>
    </r>
  </si>
  <si>
    <r>
      <t>2º          AS</t>
    </r>
    <r>
      <rPr>
        <sz val="11"/>
        <color indexed="12"/>
        <rFont val="Arial"/>
        <family val="0"/>
      </rPr>
      <t>d</t>
    </r>
  </si>
  <si>
    <r>
      <t>3º          AT</t>
    </r>
    <r>
      <rPr>
        <sz val="11"/>
        <color indexed="12"/>
        <rFont val="Arial"/>
        <family val="0"/>
      </rPr>
      <t>d</t>
    </r>
  </si>
  <si>
    <r>
      <t xml:space="preserve">RK </t>
    </r>
    <r>
      <rPr>
        <sz val="8"/>
        <rFont val="Arial"/>
        <family val="0"/>
      </rPr>
      <t>8</t>
    </r>
  </si>
  <si>
    <r>
      <t xml:space="preserve">RK </t>
    </r>
    <r>
      <rPr>
        <sz val="8"/>
        <rFont val="Arial"/>
        <family val="0"/>
      </rPr>
      <t>4</t>
    </r>
  </si>
  <si>
    <t>RK s</t>
  </si>
  <si>
    <r>
      <t>Final</t>
    </r>
    <r>
      <rPr>
        <b/>
        <sz val="13"/>
        <rFont val="Arial"/>
        <family val="2"/>
      </rPr>
      <t xml:space="preserve">                                 dimarts, 8 / desembre / 2015</t>
    </r>
  </si>
  <si>
    <t>Ordenar                         Rango      AP7:AU14</t>
  </si>
  <si>
    <t>Ordenar                        Rango      AF7:AL14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</si>
</sst>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[$-C0A]dddd\,\ dd&quot; de &quot;mmmm&quot; de &quot;yyyy"/>
    <numFmt numFmtId="166" formatCode="h:mm;@"/>
    <numFmt numFmtId="167" formatCode="0.000000000"/>
    <numFmt numFmtId="168" formatCode="0.000000000000"/>
    <numFmt numFmtId="169" formatCode="[$-403]dddd\,\ d&quot; / &quot;mmmm&quot; / &quot;yyyy;@"/>
  </numFmts>
  <fonts count="67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Arial"/>
      <family val="2"/>
    </font>
    <font>
      <sz val="8"/>
      <name val="Arial"/>
      <family val="0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0"/>
      <name val="Arial"/>
      <family val="0"/>
    </font>
    <font>
      <b/>
      <sz val="20"/>
      <color indexed="8"/>
      <name val="Arial"/>
      <family val="2"/>
    </font>
    <font>
      <b/>
      <sz val="14"/>
      <color indexed="8"/>
      <name val="Arial"/>
      <family val="2"/>
    </font>
    <font>
      <b/>
      <sz val="30"/>
      <name val="Arial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20"/>
      <color indexed="8"/>
      <name val="Arial"/>
      <family val="2"/>
    </font>
    <font>
      <sz val="30"/>
      <name val="Arial"/>
      <family val="2"/>
    </font>
    <font>
      <sz val="8"/>
      <color indexed="10"/>
      <name val="Arial"/>
      <family val="0"/>
    </font>
    <font>
      <b/>
      <sz val="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8"/>
      <color indexed="12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sz val="8"/>
      <color indexed="9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sz val="10"/>
      <color indexed="9"/>
      <name val="Arial"/>
      <family val="0"/>
    </font>
    <font>
      <sz val="10"/>
      <color indexed="12"/>
      <name val="Arial"/>
      <family val="0"/>
    </font>
    <font>
      <b/>
      <sz val="18"/>
      <color indexed="12"/>
      <name val="Arial"/>
      <family val="0"/>
    </font>
    <font>
      <sz val="13"/>
      <color indexed="12"/>
      <name val="Arial"/>
      <family val="0"/>
    </font>
    <font>
      <b/>
      <sz val="10"/>
      <color indexed="12"/>
      <name val="Arial"/>
      <family val="0"/>
    </font>
    <font>
      <b/>
      <sz val="11"/>
      <color indexed="12"/>
      <name val="Arial"/>
      <family val="0"/>
    </font>
    <font>
      <sz val="11"/>
      <color indexed="12"/>
      <name val="Arial"/>
      <family val="0"/>
    </font>
    <font>
      <b/>
      <sz val="20"/>
      <color indexed="12"/>
      <name val="Arial"/>
      <family val="0"/>
    </font>
    <font>
      <sz val="14"/>
      <color indexed="12"/>
      <name val="Arial"/>
      <family val="0"/>
    </font>
    <font>
      <sz val="10"/>
      <color indexed="10"/>
      <name val="Arial"/>
      <family val="0"/>
    </font>
    <font>
      <b/>
      <sz val="18"/>
      <color indexed="10"/>
      <name val="Arial"/>
      <family val="0"/>
    </font>
    <font>
      <sz val="13"/>
      <color indexed="10"/>
      <name val="Arial"/>
      <family val="0"/>
    </font>
    <font>
      <b/>
      <sz val="20"/>
      <color indexed="10"/>
      <name val="Arial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medium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thin"/>
      <top style="thick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ck"/>
      <top>
        <color indexed="63"/>
      </top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 style="medium"/>
      <top style="thick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5" fillId="4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0" fillId="7" borderId="1" applyNumberFormat="0" applyAlignment="0" applyProtection="0"/>
    <xf numFmtId="0" fontId="15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23" borderId="7" applyNumberFormat="0" applyFont="0" applyAlignment="0" applyProtection="0"/>
    <xf numFmtId="9" fontId="0" fillId="0" borderId="0" applyFont="0" applyFill="0" applyBorder="0" applyAlignment="0" applyProtection="0"/>
    <xf numFmtId="0" fontId="13" fillId="16" borderId="8" applyNumberFormat="0" applyAlignment="0" applyProtection="0"/>
    <xf numFmtId="0" fontId="16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670">
    <xf numFmtId="0" fontId="0" fillId="0" borderId="0" xfId="0" applyAlignment="1">
      <alignment/>
    </xf>
    <xf numFmtId="0" fontId="20" fillId="0" borderId="10" xfId="56" applyFont="1" applyFill="1" applyBorder="1" applyAlignment="1">
      <alignment horizontal="center" vertical="center" wrapText="1"/>
      <protection/>
    </xf>
    <xf numFmtId="0" fontId="20" fillId="0" borderId="11" xfId="56" applyFont="1" applyFill="1" applyBorder="1" applyAlignment="1">
      <alignment horizontal="center" vertical="center" wrapText="1"/>
      <protection/>
    </xf>
    <xf numFmtId="0" fontId="2" fillId="24" borderId="10" xfId="56" applyFont="1" applyFill="1" applyBorder="1" applyAlignment="1">
      <alignment horizontal="center" vertical="center" wrapText="1"/>
      <protection/>
    </xf>
    <xf numFmtId="0" fontId="2" fillId="24" borderId="11" xfId="56" applyFont="1" applyFill="1" applyBorder="1" applyAlignment="1">
      <alignment horizontal="center" vertical="center" wrapText="1"/>
      <protection/>
    </xf>
    <xf numFmtId="0" fontId="27" fillId="11" borderId="12" xfId="0" applyFont="1" applyFill="1" applyBorder="1" applyAlignment="1">
      <alignment horizontal="center" vertical="center"/>
    </xf>
    <xf numFmtId="0" fontId="27" fillId="11" borderId="13" xfId="0" applyFont="1" applyFill="1" applyBorder="1" applyAlignment="1">
      <alignment horizontal="center" vertical="center"/>
    </xf>
    <xf numFmtId="0" fontId="27" fillId="25" borderId="14" xfId="0" applyFont="1" applyFill="1" applyBorder="1" applyAlignment="1">
      <alignment horizontal="center" vertical="center"/>
    </xf>
    <xf numFmtId="0" fontId="27" fillId="11" borderId="14" xfId="0" applyFont="1" applyFill="1" applyBorder="1" applyAlignment="1">
      <alignment horizontal="center" vertical="center"/>
    </xf>
    <xf numFmtId="0" fontId="26" fillId="7" borderId="15" xfId="0" applyFont="1" applyFill="1" applyBorder="1" applyAlignment="1">
      <alignment horizontal="center" vertical="center"/>
    </xf>
    <xf numFmtId="0" fontId="26" fillId="7" borderId="16" xfId="0" applyFont="1" applyFill="1" applyBorder="1" applyAlignment="1">
      <alignment horizontal="center" vertical="center"/>
    </xf>
    <xf numFmtId="0" fontId="26" fillId="7" borderId="17" xfId="0" applyFont="1" applyFill="1" applyBorder="1" applyAlignment="1">
      <alignment horizontal="center" vertical="center"/>
    </xf>
    <xf numFmtId="0" fontId="26" fillId="7" borderId="18" xfId="0" applyFont="1" applyFill="1" applyBorder="1" applyAlignment="1">
      <alignment horizontal="center" vertical="center"/>
    </xf>
    <xf numFmtId="0" fontId="26" fillId="7" borderId="19" xfId="0" applyFont="1" applyFill="1" applyBorder="1" applyAlignment="1">
      <alignment horizontal="center" vertical="center"/>
    </xf>
    <xf numFmtId="0" fontId="26" fillId="7" borderId="20" xfId="0" applyFont="1" applyFill="1" applyBorder="1" applyAlignment="1">
      <alignment horizontal="center" vertical="center"/>
    </xf>
    <xf numFmtId="0" fontId="26" fillId="26" borderId="17" xfId="0" applyFont="1" applyFill="1" applyBorder="1" applyAlignment="1">
      <alignment horizontal="center" vertical="center"/>
    </xf>
    <xf numFmtId="0" fontId="26" fillId="26" borderId="18" xfId="0" applyFont="1" applyFill="1" applyBorder="1" applyAlignment="1">
      <alignment horizontal="center" vertical="center"/>
    </xf>
    <xf numFmtId="0" fontId="22" fillId="7" borderId="21" xfId="56" applyFont="1" applyFill="1" applyBorder="1" applyAlignment="1">
      <alignment horizontal="center" vertical="center"/>
      <protection/>
    </xf>
    <xf numFmtId="0" fontId="30" fillId="7" borderId="21" xfId="56" applyFont="1" applyFill="1" applyBorder="1" applyAlignment="1">
      <alignment horizontal="center" vertical="center"/>
      <protection/>
    </xf>
    <xf numFmtId="0" fontId="22" fillId="7" borderId="0" xfId="56" applyFont="1" applyFill="1" applyBorder="1" applyAlignment="1">
      <alignment horizontal="center" vertical="center"/>
      <protection/>
    </xf>
    <xf numFmtId="0" fontId="30" fillId="7" borderId="0" xfId="56" applyFont="1" applyFill="1" applyBorder="1" applyAlignment="1">
      <alignment horizontal="center" vertical="center"/>
      <protection/>
    </xf>
    <xf numFmtId="0" fontId="22" fillId="7" borderId="22" xfId="56" applyFont="1" applyFill="1" applyBorder="1" applyAlignment="1">
      <alignment horizontal="center" vertical="center"/>
      <protection/>
    </xf>
    <xf numFmtId="0" fontId="30" fillId="7" borderId="22" xfId="56" applyFont="1" applyFill="1" applyBorder="1" applyAlignment="1">
      <alignment horizontal="center" vertical="center"/>
      <protection/>
    </xf>
    <xf numFmtId="0" fontId="22" fillId="26" borderId="21" xfId="56" applyFont="1" applyFill="1" applyBorder="1" applyAlignment="1">
      <alignment horizontal="center" vertical="center"/>
      <protection/>
    </xf>
    <xf numFmtId="0" fontId="30" fillId="26" borderId="21" xfId="56" applyFont="1" applyFill="1" applyBorder="1" applyAlignment="1">
      <alignment horizontal="center" vertical="center"/>
      <protection/>
    </xf>
    <xf numFmtId="0" fontId="22" fillId="26" borderId="0" xfId="56" applyFont="1" applyFill="1" applyBorder="1" applyAlignment="1">
      <alignment horizontal="center" vertical="center"/>
      <protection/>
    </xf>
    <xf numFmtId="0" fontId="30" fillId="26" borderId="0" xfId="56" applyFont="1" applyFill="1" applyBorder="1" applyAlignment="1">
      <alignment horizontal="center" vertical="center"/>
      <protection/>
    </xf>
    <xf numFmtId="0" fontId="22" fillId="26" borderId="22" xfId="56" applyFont="1" applyFill="1" applyBorder="1" applyAlignment="1">
      <alignment horizontal="center" vertical="center"/>
      <protection/>
    </xf>
    <xf numFmtId="0" fontId="30" fillId="26" borderId="22" xfId="56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/>
    </xf>
    <xf numFmtId="0" fontId="1" fillId="22" borderId="23" xfId="56" applyFont="1" applyFill="1" applyBorder="1" applyAlignment="1" applyProtection="1">
      <alignment horizontal="left" vertical="center"/>
      <protection locked="0"/>
    </xf>
    <xf numFmtId="0" fontId="1" fillId="22" borderId="21" xfId="56" applyFont="1" applyFill="1" applyBorder="1" applyAlignment="1" applyProtection="1">
      <alignment horizontal="left" vertical="center"/>
      <protection locked="0"/>
    </xf>
    <xf numFmtId="0" fontId="1" fillId="22" borderId="24" xfId="56" applyFont="1" applyFill="1" applyBorder="1" applyAlignment="1" applyProtection="1">
      <alignment horizontal="left" vertical="center"/>
      <protection locked="0"/>
    </xf>
    <xf numFmtId="0" fontId="1" fillId="22" borderId="25" xfId="56" applyFont="1" applyFill="1" applyBorder="1" applyAlignment="1" applyProtection="1">
      <alignment horizontal="left" vertical="center"/>
      <protection locked="0"/>
    </xf>
    <xf numFmtId="0" fontId="1" fillId="22" borderId="0" xfId="56" applyFont="1" applyFill="1" applyBorder="1" applyAlignment="1" applyProtection="1">
      <alignment horizontal="left" vertical="center"/>
      <protection locked="0"/>
    </xf>
    <xf numFmtId="0" fontId="1" fillId="22" borderId="26" xfId="56" applyFont="1" applyFill="1" applyBorder="1" applyAlignment="1" applyProtection="1">
      <alignment horizontal="left" vertical="center"/>
      <protection locked="0"/>
    </xf>
    <xf numFmtId="0" fontId="1" fillId="22" borderId="27" xfId="56" applyFont="1" applyFill="1" applyBorder="1" applyAlignment="1" applyProtection="1">
      <alignment horizontal="left" vertical="center"/>
      <protection locked="0"/>
    </xf>
    <xf numFmtId="0" fontId="1" fillId="22" borderId="22" xfId="56" applyFont="1" applyFill="1" applyBorder="1" applyAlignment="1" applyProtection="1">
      <alignment horizontal="left" vertical="center"/>
      <protection locked="0"/>
    </xf>
    <xf numFmtId="0" fontId="1" fillId="22" borderId="28" xfId="56" applyFont="1" applyFill="1" applyBorder="1" applyAlignment="1" applyProtection="1">
      <alignment horizontal="left" vertical="center"/>
      <protection locked="0"/>
    </xf>
    <xf numFmtId="0" fontId="32" fillId="22" borderId="23" xfId="56" applyFont="1" applyFill="1" applyBorder="1" applyAlignment="1" applyProtection="1">
      <alignment vertical="center"/>
      <protection locked="0"/>
    </xf>
    <xf numFmtId="20" fontId="33" fillId="22" borderId="21" xfId="56" applyNumberFormat="1" applyFont="1" applyFill="1" applyBorder="1" applyAlignment="1">
      <alignment horizontal="left" vertical="center"/>
      <protection/>
    </xf>
    <xf numFmtId="0" fontId="34" fillId="22" borderId="21" xfId="56" applyFont="1" applyFill="1" applyBorder="1" applyAlignment="1" applyProtection="1">
      <alignment horizontal="left" vertical="center"/>
      <protection locked="0"/>
    </xf>
    <xf numFmtId="0" fontId="34" fillId="22" borderId="24" xfId="56" applyFont="1" applyFill="1" applyBorder="1" applyAlignment="1" applyProtection="1">
      <alignment horizontal="left" vertical="center"/>
      <protection locked="0"/>
    </xf>
    <xf numFmtId="0" fontId="0" fillId="22" borderId="25" xfId="0" applyFont="1" applyFill="1" applyBorder="1" applyAlignment="1">
      <alignment horizontal="left" vertical="center"/>
    </xf>
    <xf numFmtId="20" fontId="33" fillId="22" borderId="0" xfId="56" applyNumberFormat="1" applyFont="1" applyFill="1" applyBorder="1" applyAlignment="1">
      <alignment horizontal="left" vertical="center"/>
      <protection/>
    </xf>
    <xf numFmtId="0" fontId="1" fillId="22" borderId="25" xfId="56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6" fillId="0" borderId="0" xfId="0" applyFont="1" applyAlignment="1">
      <alignment/>
    </xf>
    <xf numFmtId="0" fontId="22" fillId="27" borderId="29" xfId="57" applyFont="1" applyFill="1" applyBorder="1" applyAlignment="1">
      <alignment horizontal="center"/>
      <protection/>
    </xf>
    <xf numFmtId="0" fontId="22" fillId="27" borderId="17" xfId="57" applyFont="1" applyFill="1" applyBorder="1" applyAlignment="1">
      <alignment horizontal="center"/>
      <protection/>
    </xf>
    <xf numFmtId="0" fontId="22" fillId="0" borderId="17" xfId="57" applyFont="1" applyBorder="1" applyAlignment="1">
      <alignment horizontal="center"/>
      <protection/>
    </xf>
    <xf numFmtId="0" fontId="22" fillId="0" borderId="17" xfId="57" applyFont="1" applyFill="1" applyBorder="1" applyAlignment="1">
      <alignment horizontal="center"/>
      <protection/>
    </xf>
    <xf numFmtId="0" fontId="22" fillId="0" borderId="30" xfId="57" applyFont="1" applyBorder="1" applyAlignment="1">
      <alignment horizontal="center"/>
      <protection/>
    </xf>
    <xf numFmtId="0" fontId="22" fillId="0" borderId="31" xfId="57" applyFont="1" applyBorder="1" applyAlignment="1">
      <alignment horizontal="center"/>
      <protection/>
    </xf>
    <xf numFmtId="0" fontId="22" fillId="27" borderId="30" xfId="57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24" borderId="0" xfId="0" applyFill="1" applyAlignment="1">
      <alignment/>
    </xf>
    <xf numFmtId="0" fontId="36" fillId="24" borderId="0" xfId="0" applyFont="1" applyFill="1" applyAlignment="1">
      <alignment/>
    </xf>
    <xf numFmtId="0" fontId="36" fillId="24" borderId="0" xfId="0" applyFont="1" applyFill="1" applyAlignment="1">
      <alignment/>
    </xf>
    <xf numFmtId="0" fontId="22" fillId="24" borderId="0" xfId="57" applyFont="1" applyFill="1">
      <alignment/>
      <protection/>
    </xf>
    <xf numFmtId="0" fontId="0" fillId="24" borderId="0" xfId="0" applyFill="1" applyAlignment="1">
      <alignment horizontal="left" vertical="center"/>
    </xf>
    <xf numFmtId="20" fontId="20" fillId="24" borderId="0" xfId="56" applyNumberFormat="1" applyFont="1" applyFill="1" applyBorder="1" applyAlignment="1">
      <alignment horizontal="center" vertical="center" wrapText="1"/>
      <protection/>
    </xf>
    <xf numFmtId="0" fontId="24" fillId="24" borderId="0" xfId="56" applyFont="1" applyFill="1" applyBorder="1" applyAlignment="1" applyProtection="1">
      <alignment horizontal="center" vertical="center" wrapText="1"/>
      <protection locked="0"/>
    </xf>
    <xf numFmtId="0" fontId="20" fillId="24" borderId="0" xfId="56" applyFont="1" applyFill="1" applyBorder="1" applyAlignment="1" applyProtection="1">
      <alignment horizontal="center" vertical="center" wrapText="1"/>
      <protection locked="0"/>
    </xf>
    <xf numFmtId="0" fontId="0" fillId="24" borderId="0" xfId="56" applyFont="1" applyFill="1" applyAlignment="1">
      <alignment horizontal="left" vertical="center"/>
      <protection/>
    </xf>
    <xf numFmtId="0" fontId="1" fillId="24" borderId="0" xfId="56" applyFont="1" applyFill="1" applyAlignment="1" applyProtection="1">
      <alignment horizontal="left" vertical="center"/>
      <protection locked="0"/>
    </xf>
    <xf numFmtId="20" fontId="33" fillId="24" borderId="0" xfId="56" applyNumberFormat="1" applyFont="1" applyFill="1" applyBorder="1" applyAlignment="1">
      <alignment horizontal="left" vertical="center"/>
      <protection/>
    </xf>
    <xf numFmtId="0" fontId="34" fillId="24" borderId="0" xfId="56" applyFont="1" applyFill="1" applyBorder="1" applyAlignment="1" applyProtection="1">
      <alignment horizontal="left" vertical="center"/>
      <protection locked="0"/>
    </xf>
    <xf numFmtId="0" fontId="1" fillId="24" borderId="0" xfId="0" applyFont="1" applyFill="1" applyAlignment="1">
      <alignment horizontal="center"/>
    </xf>
    <xf numFmtId="0" fontId="28" fillId="24" borderId="0" xfId="0" applyFont="1" applyFill="1" applyAlignment="1">
      <alignment/>
    </xf>
    <xf numFmtId="0" fontId="31" fillId="24" borderId="0" xfId="0" applyFont="1" applyFill="1" applyAlignment="1">
      <alignment horizontal="center"/>
    </xf>
    <xf numFmtId="0" fontId="25" fillId="24" borderId="0" xfId="0" applyFont="1" applyFill="1" applyAlignment="1">
      <alignment horizontal="center"/>
    </xf>
    <xf numFmtId="0" fontId="0" fillId="24" borderId="0" xfId="0" applyFont="1" applyFill="1" applyAlignment="1">
      <alignment/>
    </xf>
    <xf numFmtId="0" fontId="28" fillId="24" borderId="0" xfId="0" applyFont="1" applyFill="1" applyAlignment="1">
      <alignment/>
    </xf>
    <xf numFmtId="0" fontId="39" fillId="24" borderId="0" xfId="0" applyFont="1" applyFill="1" applyBorder="1" applyAlignment="1">
      <alignment horizontal="center" vertical="center" wrapText="1"/>
    </xf>
    <xf numFmtId="0" fontId="28" fillId="24" borderId="12" xfId="0" applyFont="1" applyFill="1" applyBorder="1" applyAlignment="1">
      <alignment/>
    </xf>
    <xf numFmtId="0" fontId="28" fillId="24" borderId="32" xfId="0" applyFont="1" applyFill="1" applyBorder="1" applyAlignment="1">
      <alignment/>
    </xf>
    <xf numFmtId="0" fontId="28" fillId="24" borderId="33" xfId="0" applyFont="1" applyFill="1" applyBorder="1" applyAlignment="1">
      <alignment/>
    </xf>
    <xf numFmtId="0" fontId="28" fillId="24" borderId="0" xfId="0" applyFont="1" applyFill="1" applyBorder="1" applyAlignment="1">
      <alignment/>
    </xf>
    <xf numFmtId="0" fontId="28" fillId="24" borderId="13" xfId="0" applyFont="1" applyFill="1" applyBorder="1" applyAlignment="1">
      <alignment/>
    </xf>
    <xf numFmtId="0" fontId="28" fillId="24" borderId="0" xfId="0" applyFont="1" applyFill="1" applyAlignment="1">
      <alignment horizontal="center"/>
    </xf>
    <xf numFmtId="0" fontId="20" fillId="24" borderId="25" xfId="56" applyFont="1" applyFill="1" applyBorder="1" applyAlignment="1">
      <alignment horizontal="center"/>
      <protection/>
    </xf>
    <xf numFmtId="0" fontId="20" fillId="24" borderId="26" xfId="56" applyFont="1" applyFill="1" applyBorder="1" applyAlignment="1">
      <alignment horizontal="center"/>
      <protection/>
    </xf>
    <xf numFmtId="0" fontId="20" fillId="24" borderId="25" xfId="56" applyFont="1" applyFill="1" applyBorder="1" applyAlignment="1">
      <alignment horizontal="center" vertical="center" wrapText="1"/>
      <protection/>
    </xf>
    <xf numFmtId="0" fontId="20" fillId="24" borderId="26" xfId="56" applyFont="1" applyFill="1" applyBorder="1" applyAlignment="1">
      <alignment horizontal="center" vertical="center" wrapText="1"/>
      <protection/>
    </xf>
    <xf numFmtId="0" fontId="20" fillId="24" borderId="25" xfId="56" applyFont="1" applyFill="1" applyBorder="1" applyAlignment="1" applyProtection="1">
      <alignment horizontal="center" vertical="center" wrapText="1"/>
      <protection locked="0"/>
    </xf>
    <xf numFmtId="0" fontId="20" fillId="24" borderId="26" xfId="56" applyFont="1" applyFill="1" applyBorder="1" applyAlignment="1" applyProtection="1">
      <alignment horizontal="center" vertical="center" wrapText="1"/>
      <protection locked="0"/>
    </xf>
    <xf numFmtId="14" fontId="21" fillId="24" borderId="0" xfId="0" applyNumberFormat="1" applyFont="1" applyFill="1" applyAlignment="1">
      <alignment/>
    </xf>
    <xf numFmtId="0" fontId="21" fillId="19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 horizontal="center" vertical="center"/>
      <protection/>
    </xf>
    <xf numFmtId="164" fontId="0" fillId="0" borderId="35" xfId="0" applyNumberFormat="1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 horizontal="center" vertical="center"/>
      <protection/>
    </xf>
    <xf numFmtId="164" fontId="0" fillId="0" borderId="38" xfId="0" applyNumberFormat="1" applyBorder="1" applyAlignment="1" applyProtection="1">
      <alignment horizontal="center" vertical="center"/>
      <protection/>
    </xf>
    <xf numFmtId="0" fontId="0" fillId="0" borderId="39" xfId="0" applyBorder="1" applyAlignment="1" applyProtection="1">
      <alignment horizontal="center" vertical="center"/>
      <protection/>
    </xf>
    <xf numFmtId="0" fontId="0" fillId="0" borderId="40" xfId="0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left" vertical="center"/>
      <protection/>
    </xf>
    <xf numFmtId="0" fontId="0" fillId="0" borderId="42" xfId="0" applyBorder="1" applyAlignment="1" applyProtection="1">
      <alignment horizontal="center" vertical="center"/>
      <protection/>
    </xf>
    <xf numFmtId="0" fontId="0" fillId="0" borderId="43" xfId="0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 horizontal="center" vertical="center"/>
      <protection/>
    </xf>
    <xf numFmtId="164" fontId="0" fillId="0" borderId="41" xfId="0" applyNumberFormat="1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  <xf numFmtId="0" fontId="41" fillId="0" borderId="0" xfId="0" applyFont="1" applyAlignment="1" applyProtection="1">
      <alignment horizontal="center" vertical="center"/>
      <protection/>
    </xf>
    <xf numFmtId="0" fontId="1" fillId="11" borderId="0" xfId="0" applyFont="1" applyFill="1" applyAlignment="1" applyProtection="1">
      <alignment horizontal="center" vertical="center"/>
      <protection/>
    </xf>
    <xf numFmtId="164" fontId="0" fillId="0" borderId="35" xfId="0" applyNumberFormat="1" applyFill="1" applyBorder="1" applyAlignment="1" applyProtection="1">
      <alignment horizontal="center" vertical="center"/>
      <protection/>
    </xf>
    <xf numFmtId="168" fontId="41" fillId="0" borderId="0" xfId="0" applyNumberFormat="1" applyFont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 horizontal="left" vertical="center"/>
      <protection/>
    </xf>
    <xf numFmtId="164" fontId="0" fillId="0" borderId="46" xfId="0" applyNumberFormat="1" applyFill="1" applyBorder="1" applyAlignment="1" applyProtection="1">
      <alignment horizontal="center" vertical="center"/>
      <protection/>
    </xf>
    <xf numFmtId="0" fontId="0" fillId="0" borderId="47" xfId="0" applyBorder="1" applyAlignment="1" applyProtection="1">
      <alignment horizontal="center" vertical="center"/>
      <protection/>
    </xf>
    <xf numFmtId="164" fontId="0" fillId="0" borderId="41" xfId="0" applyNumberFormat="1" applyFill="1" applyBorder="1" applyAlignment="1" applyProtection="1">
      <alignment horizontal="center" vertical="center"/>
      <protection/>
    </xf>
    <xf numFmtId="0" fontId="42" fillId="0" borderId="0" xfId="0" applyFont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166" fontId="0" fillId="24" borderId="48" xfId="0" applyNumberFormat="1" applyFont="1" applyFill="1" applyBorder="1" applyAlignment="1" applyProtection="1">
      <alignment horizontal="center" vertical="center"/>
      <protection/>
    </xf>
    <xf numFmtId="0" fontId="0" fillId="24" borderId="49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 horizontal="center" vertical="center" wrapText="1"/>
      <protection/>
    </xf>
    <xf numFmtId="0" fontId="0" fillId="0" borderId="35" xfId="0" applyFont="1" applyBorder="1" applyAlignment="1" applyProtection="1">
      <alignment horizontal="left" vertical="center"/>
      <protection/>
    </xf>
    <xf numFmtId="0" fontId="0" fillId="0" borderId="38" xfId="0" applyFont="1" applyBorder="1" applyAlignment="1" applyProtection="1">
      <alignment horizontal="left" vertical="center"/>
      <protection/>
    </xf>
    <xf numFmtId="0" fontId="0" fillId="0" borderId="41" xfId="0" applyFont="1" applyBorder="1" applyAlignment="1" applyProtection="1">
      <alignment horizontal="left" vertical="center"/>
      <protection/>
    </xf>
    <xf numFmtId="0" fontId="0" fillId="0" borderId="43" xfId="0" applyFont="1" applyBorder="1" applyAlignment="1" applyProtection="1">
      <alignment horizontal="left" vertical="center"/>
      <protection/>
    </xf>
    <xf numFmtId="0" fontId="0" fillId="19" borderId="0" xfId="0" applyFill="1" applyAlignment="1" applyProtection="1">
      <alignment horizontal="center" vertical="center"/>
      <protection/>
    </xf>
    <xf numFmtId="0" fontId="21" fillId="16" borderId="0" xfId="0" applyFont="1" applyFill="1" applyAlignment="1" applyProtection="1">
      <alignment horizontal="center" vertical="center"/>
      <protection/>
    </xf>
    <xf numFmtId="0" fontId="21" fillId="16" borderId="0" xfId="0" applyFont="1" applyFill="1" applyAlignment="1" applyProtection="1">
      <alignment vertical="center"/>
      <protection/>
    </xf>
    <xf numFmtId="0" fontId="45" fillId="0" borderId="0" xfId="0" applyFont="1" applyAlignment="1" applyProtection="1">
      <alignment horizontal="center" vertical="center"/>
      <protection/>
    </xf>
    <xf numFmtId="0" fontId="45" fillId="16" borderId="0" xfId="0" applyFont="1" applyFill="1" applyAlignment="1" applyProtection="1">
      <alignment horizontal="center" vertical="center"/>
      <protection/>
    </xf>
    <xf numFmtId="0" fontId="45" fillId="0" borderId="0" xfId="0" applyFont="1" applyAlignment="1" applyProtection="1">
      <alignment vertical="center"/>
      <protection/>
    </xf>
    <xf numFmtId="0" fontId="45" fillId="16" borderId="0" xfId="0" applyFont="1" applyFill="1" applyAlignment="1" applyProtection="1">
      <alignment vertical="center"/>
      <protection/>
    </xf>
    <xf numFmtId="0" fontId="45" fillId="0" borderId="0" xfId="0" applyFont="1" applyAlignment="1" applyProtection="1">
      <alignment horizontal="left" vertical="center"/>
      <protection/>
    </xf>
    <xf numFmtId="1" fontId="45" fillId="0" borderId="0" xfId="0" applyNumberFormat="1" applyFont="1" applyAlignment="1" applyProtection="1">
      <alignment horizontal="center" vertical="center"/>
      <protection/>
    </xf>
    <xf numFmtId="164" fontId="45" fillId="0" borderId="0" xfId="0" applyNumberFormat="1" applyFont="1" applyAlignment="1" applyProtection="1">
      <alignment horizontal="center" vertical="center"/>
      <protection/>
    </xf>
    <xf numFmtId="0" fontId="45" fillId="19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19" borderId="0" xfId="0" applyFont="1" applyFill="1" applyAlignment="1" applyProtection="1">
      <alignment vertical="center"/>
      <protection/>
    </xf>
    <xf numFmtId="0" fontId="25" fillId="0" borderId="0" xfId="0" applyFont="1" applyAlignment="1" applyProtection="1">
      <alignment horizontal="center" vertical="center"/>
      <protection/>
    </xf>
    <xf numFmtId="0" fontId="21" fillId="0" borderId="50" xfId="0" applyFont="1" applyFill="1" applyBorder="1" applyAlignment="1" applyProtection="1">
      <alignment vertical="center"/>
      <protection/>
    </xf>
    <xf numFmtId="0" fontId="45" fillId="22" borderId="51" xfId="0" applyFont="1" applyFill="1" applyBorder="1" applyAlignment="1" applyProtection="1">
      <alignment horizontal="left" vertical="center"/>
      <protection/>
    </xf>
    <xf numFmtId="1" fontId="45" fillId="22" borderId="51" xfId="0" applyNumberFormat="1" applyFont="1" applyFill="1" applyBorder="1" applyAlignment="1" applyProtection="1">
      <alignment horizontal="center" vertical="center"/>
      <protection/>
    </xf>
    <xf numFmtId="164" fontId="45" fillId="22" borderId="51" xfId="0" applyNumberFormat="1" applyFont="1" applyFill="1" applyBorder="1" applyAlignment="1" applyProtection="1">
      <alignment horizontal="center" vertical="center"/>
      <protection/>
    </xf>
    <xf numFmtId="1" fontId="45" fillId="22" borderId="52" xfId="0" applyNumberFormat="1" applyFont="1" applyFill="1" applyBorder="1" applyAlignment="1" applyProtection="1">
      <alignment horizontal="center" vertical="center"/>
      <protection/>
    </xf>
    <xf numFmtId="0" fontId="21" fillId="0" borderId="53" xfId="0" applyFont="1" applyFill="1" applyBorder="1" applyAlignment="1" applyProtection="1">
      <alignment vertical="center"/>
      <protection/>
    </xf>
    <xf numFmtId="0" fontId="45" fillId="22" borderId="0" xfId="0" applyFont="1" applyFill="1" applyBorder="1" applyAlignment="1" applyProtection="1">
      <alignment horizontal="left" vertical="center"/>
      <protection/>
    </xf>
    <xf numFmtId="1" fontId="45" fillId="22" borderId="0" xfId="0" applyNumberFormat="1" applyFont="1" applyFill="1" applyBorder="1" applyAlignment="1" applyProtection="1">
      <alignment horizontal="center" vertical="center"/>
      <protection/>
    </xf>
    <xf numFmtId="164" fontId="45" fillId="22" borderId="0" xfId="0" applyNumberFormat="1" applyFont="1" applyFill="1" applyBorder="1" applyAlignment="1" applyProtection="1">
      <alignment horizontal="center" vertical="center"/>
      <protection/>
    </xf>
    <xf numFmtId="1" fontId="45" fillId="22" borderId="54" xfId="0" applyNumberFormat="1" applyFont="1" applyFill="1" applyBorder="1" applyAlignment="1" applyProtection="1">
      <alignment horizontal="center" vertical="center"/>
      <protection/>
    </xf>
    <xf numFmtId="0" fontId="21" fillId="0" borderId="55" xfId="0" applyFont="1" applyFill="1" applyBorder="1" applyAlignment="1" applyProtection="1">
      <alignment vertical="center"/>
      <protection/>
    </xf>
    <xf numFmtId="0" fontId="45" fillId="22" borderId="56" xfId="0" applyFont="1" applyFill="1" applyBorder="1" applyAlignment="1" applyProtection="1">
      <alignment horizontal="left" vertical="center"/>
      <protection/>
    </xf>
    <xf numFmtId="1" fontId="45" fillId="22" borderId="56" xfId="0" applyNumberFormat="1" applyFont="1" applyFill="1" applyBorder="1" applyAlignment="1" applyProtection="1">
      <alignment horizontal="center" vertical="center"/>
      <protection/>
    </xf>
    <xf numFmtId="164" fontId="45" fillId="22" borderId="56" xfId="0" applyNumberFormat="1" applyFont="1" applyFill="1" applyBorder="1" applyAlignment="1" applyProtection="1">
      <alignment horizontal="center" vertical="center"/>
      <protection/>
    </xf>
    <xf numFmtId="1" fontId="45" fillId="22" borderId="57" xfId="0" applyNumberFormat="1" applyFont="1" applyFill="1" applyBorder="1" applyAlignment="1" applyProtection="1">
      <alignment horizontal="center" vertical="center"/>
      <protection/>
    </xf>
    <xf numFmtId="0" fontId="1" fillId="22" borderId="0" xfId="0" applyFont="1" applyFill="1" applyAlignment="1" applyProtection="1">
      <alignment horizontal="center" vertical="center" wrapText="1"/>
      <protection/>
    </xf>
    <xf numFmtId="0" fontId="45" fillId="11" borderId="0" xfId="0" applyFont="1" applyFill="1" applyAlignment="1" applyProtection="1">
      <alignment horizontal="center" vertical="center"/>
      <protection/>
    </xf>
    <xf numFmtId="0" fontId="45" fillId="10" borderId="0" xfId="0" applyFont="1" applyFill="1" applyAlignment="1" applyProtection="1">
      <alignment horizontal="center" vertical="center"/>
      <protection/>
    </xf>
    <xf numFmtId="0" fontId="45" fillId="28" borderId="0" xfId="0" applyFont="1" applyFill="1" applyAlignment="1" applyProtection="1">
      <alignment horizontal="center" vertical="center"/>
      <protection/>
    </xf>
    <xf numFmtId="49" fontId="46" fillId="28" borderId="0" xfId="0" applyNumberFormat="1" applyFont="1" applyFill="1" applyAlignment="1" applyProtection="1">
      <alignment horizontal="center" wrapText="1"/>
      <protection/>
    </xf>
    <xf numFmtId="49" fontId="46" fillId="11" borderId="0" xfId="0" applyNumberFormat="1" applyFont="1" applyFill="1" applyAlignment="1" applyProtection="1">
      <alignment horizontal="center" wrapText="1"/>
      <protection/>
    </xf>
    <xf numFmtId="49" fontId="46" fillId="10" borderId="0" xfId="0" applyNumberFormat="1" applyFont="1" applyFill="1" applyAlignment="1" applyProtection="1">
      <alignment horizontal="center"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27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25" borderId="0" xfId="0" applyFont="1" applyFill="1" applyAlignment="1" applyProtection="1">
      <alignment horizontal="center" vertical="center"/>
      <protection/>
    </xf>
    <xf numFmtId="0" fontId="45" fillId="4" borderId="0" xfId="0" applyFont="1" applyFill="1" applyAlignment="1" applyProtection="1">
      <alignment horizontal="left" vertical="center"/>
      <protection/>
    </xf>
    <xf numFmtId="1" fontId="45" fillId="4" borderId="0" xfId="0" applyNumberFormat="1" applyFont="1" applyFill="1" applyAlignment="1" applyProtection="1">
      <alignment horizontal="center" vertical="center"/>
      <protection/>
    </xf>
    <xf numFmtId="164" fontId="45" fillId="4" borderId="0" xfId="0" applyNumberFormat="1" applyFont="1" applyFill="1" applyAlignment="1" applyProtection="1">
      <alignment horizontal="center" vertical="center"/>
      <protection/>
    </xf>
    <xf numFmtId="0" fontId="1" fillId="4" borderId="0" xfId="0" applyFont="1" applyFill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top" wrapText="1"/>
    </xf>
    <xf numFmtId="0" fontId="49" fillId="0" borderId="0" xfId="0" applyFont="1" applyAlignment="1" applyProtection="1">
      <alignment horizontal="center" vertical="center"/>
      <protection/>
    </xf>
    <xf numFmtId="164" fontId="49" fillId="0" borderId="0" xfId="0" applyNumberFormat="1" applyFont="1" applyAlignment="1" applyProtection="1">
      <alignment horizontal="center" vertical="center"/>
      <protection/>
    </xf>
    <xf numFmtId="0" fontId="49" fillId="0" borderId="0" xfId="0" applyFont="1" applyFill="1" applyAlignment="1" applyProtection="1">
      <alignment horizontal="center" vertical="center"/>
      <protection/>
    </xf>
    <xf numFmtId="0" fontId="45" fillId="0" borderId="0" xfId="0" applyFont="1" applyFill="1" applyAlignment="1" applyProtection="1">
      <alignment vertical="center"/>
      <protection/>
    </xf>
    <xf numFmtId="0" fontId="45" fillId="0" borderId="0" xfId="0" applyFont="1" applyFill="1" applyAlignment="1" applyProtection="1">
      <alignment horizontal="center" vertical="center"/>
      <protection/>
    </xf>
    <xf numFmtId="0" fontId="0" fillId="24" borderId="0" xfId="0" applyFont="1" applyFill="1" applyBorder="1" applyAlignment="1">
      <alignment vertical="center"/>
    </xf>
    <xf numFmtId="0" fontId="0" fillId="24" borderId="0" xfId="0" applyFont="1" applyFill="1" applyBorder="1" applyAlignment="1">
      <alignment horizontal="center" vertical="center"/>
    </xf>
    <xf numFmtId="164" fontId="0" fillId="24" borderId="0" xfId="0" applyNumberFormat="1" applyFont="1" applyFill="1" applyBorder="1" applyAlignment="1">
      <alignment horizontal="center" vertical="center"/>
    </xf>
    <xf numFmtId="0" fontId="27" fillId="24" borderId="0" xfId="0" applyFont="1" applyFill="1" applyAlignment="1" quotePrefix="1">
      <alignment vertical="center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25" fillId="24" borderId="0" xfId="0" applyFont="1" applyFill="1" applyAlignment="1">
      <alignment horizontal="right" vertical="center"/>
    </xf>
    <xf numFmtId="0" fontId="0" fillId="24" borderId="0" xfId="0" applyFill="1" applyAlignment="1">
      <alignment horizontal="right"/>
    </xf>
    <xf numFmtId="0" fontId="0" fillId="24" borderId="58" xfId="0" applyNumberFormat="1" applyFont="1" applyFill="1" applyBorder="1" applyAlignment="1" applyProtection="1">
      <alignment horizontal="center" vertical="center"/>
      <protection locked="0"/>
    </xf>
    <xf numFmtId="166" fontId="0" fillId="24" borderId="49" xfId="0" applyNumberFormat="1" applyFont="1" applyFill="1" applyBorder="1" applyAlignment="1" applyProtection="1">
      <alignment horizontal="center" vertical="center"/>
      <protection locked="0"/>
    </xf>
    <xf numFmtId="166" fontId="0" fillId="24" borderId="48" xfId="0" applyNumberFormat="1" applyFont="1" applyFill="1" applyBorder="1" applyAlignment="1" applyProtection="1">
      <alignment horizontal="center" vertical="center"/>
      <protection locked="0"/>
    </xf>
    <xf numFmtId="166" fontId="0" fillId="24" borderId="49" xfId="0" applyNumberFormat="1" applyFont="1" applyFill="1" applyBorder="1" applyAlignment="1" applyProtection="1">
      <alignment horizontal="center" vertical="center"/>
      <protection/>
    </xf>
    <xf numFmtId="0" fontId="0" fillId="24" borderId="58" xfId="0" applyNumberFormat="1" applyFont="1" applyFill="1" applyBorder="1" applyAlignment="1" applyProtection="1">
      <alignment horizontal="center" vertical="center"/>
      <protection/>
    </xf>
    <xf numFmtId="164" fontId="49" fillId="0" borderId="0" xfId="0" applyNumberFormat="1" applyFont="1" applyFill="1" applyAlignment="1" applyProtection="1">
      <alignment horizontal="center" vertical="center"/>
      <protection/>
    </xf>
    <xf numFmtId="0" fontId="36" fillId="0" borderId="17" xfId="0" applyFont="1" applyBorder="1" applyAlignment="1" applyProtection="1">
      <alignment horizontal="center" vertical="center"/>
      <protection/>
    </xf>
    <xf numFmtId="0" fontId="36" fillId="0" borderId="29" xfId="0" applyFont="1" applyBorder="1" applyAlignment="1" applyProtection="1">
      <alignment horizontal="center" vertical="center"/>
      <protection/>
    </xf>
    <xf numFmtId="0" fontId="36" fillId="0" borderId="30" xfId="0" applyFont="1" applyBorder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>
      <alignment/>
    </xf>
    <xf numFmtId="166" fontId="50" fillId="24" borderId="48" xfId="0" applyNumberFormat="1" applyFont="1" applyFill="1" applyBorder="1" applyAlignment="1" applyProtection="1">
      <alignment horizontal="center" vertical="center"/>
      <protection/>
    </xf>
    <xf numFmtId="0" fontId="50" fillId="24" borderId="49" xfId="0" applyNumberFormat="1" applyFont="1" applyFill="1" applyBorder="1" applyAlignment="1" applyProtection="1">
      <alignment horizontal="center" vertical="center"/>
      <protection/>
    </xf>
    <xf numFmtId="0" fontId="50" fillId="24" borderId="58" xfId="0" applyNumberFormat="1" applyFont="1" applyFill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left" vertical="center"/>
      <protection/>
    </xf>
    <xf numFmtId="0" fontId="1" fillId="0" borderId="41" xfId="0" applyFont="1" applyBorder="1" applyAlignment="1" applyProtection="1">
      <alignment horizontal="left" vertical="center"/>
      <protection/>
    </xf>
    <xf numFmtId="0" fontId="50" fillId="0" borderId="35" xfId="0" applyFont="1" applyBorder="1" applyAlignment="1" applyProtection="1">
      <alignment horizontal="center" vertical="center"/>
      <protection locked="0"/>
    </xf>
    <xf numFmtId="0" fontId="50" fillId="0" borderId="36" xfId="0" applyFont="1" applyBorder="1" applyAlignment="1" applyProtection="1">
      <alignment horizontal="center" vertical="center"/>
      <protection/>
    </xf>
    <xf numFmtId="0" fontId="50" fillId="0" borderId="38" xfId="0" applyFont="1" applyBorder="1" applyAlignment="1" applyProtection="1">
      <alignment horizontal="center" vertical="center"/>
      <protection locked="0"/>
    </xf>
    <xf numFmtId="0" fontId="50" fillId="0" borderId="39" xfId="0" applyFont="1" applyBorder="1" applyAlignment="1" applyProtection="1">
      <alignment horizontal="center" vertical="center"/>
      <protection/>
    </xf>
    <xf numFmtId="0" fontId="50" fillId="0" borderId="41" xfId="0" applyFont="1" applyBorder="1" applyAlignment="1" applyProtection="1">
      <alignment horizontal="center" vertical="center"/>
      <protection locked="0"/>
    </xf>
    <xf numFmtId="0" fontId="50" fillId="0" borderId="44" xfId="0" applyFont="1" applyBorder="1" applyAlignment="1" applyProtection="1">
      <alignment horizontal="center" vertical="center"/>
      <protection/>
    </xf>
    <xf numFmtId="0" fontId="1" fillId="0" borderId="59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60" xfId="0" applyFont="1" applyFill="1" applyBorder="1" applyAlignment="1">
      <alignment vertical="center"/>
    </xf>
    <xf numFmtId="0" fontId="37" fillId="0" borderId="59" xfId="0" applyFont="1" applyFill="1" applyBorder="1" applyAlignment="1">
      <alignment horizontal="center" vertical="center"/>
    </xf>
    <xf numFmtId="164" fontId="37" fillId="0" borderId="59" xfId="0" applyNumberFormat="1" applyFont="1" applyFill="1" applyBorder="1" applyAlignment="1">
      <alignment horizontal="center" vertical="center"/>
    </xf>
    <xf numFmtId="0" fontId="37" fillId="0" borderId="61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164" fontId="37" fillId="0" borderId="0" xfId="0" applyNumberFormat="1" applyFont="1" applyFill="1" applyBorder="1" applyAlignment="1">
      <alignment horizontal="center" vertical="center"/>
    </xf>
    <xf numFmtId="0" fontId="37" fillId="0" borderId="62" xfId="0" applyFont="1" applyFill="1" applyBorder="1" applyAlignment="1">
      <alignment horizontal="center" vertical="center"/>
    </xf>
    <xf numFmtId="0" fontId="37" fillId="0" borderId="60" xfId="0" applyFont="1" applyFill="1" applyBorder="1" applyAlignment="1">
      <alignment horizontal="center" vertical="center"/>
    </xf>
    <xf numFmtId="164" fontId="37" fillId="0" borderId="60" xfId="0" applyNumberFormat="1" applyFont="1" applyFill="1" applyBorder="1" applyAlignment="1">
      <alignment horizontal="center" vertical="center"/>
    </xf>
    <xf numFmtId="0" fontId="37" fillId="0" borderId="63" xfId="0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top" wrapText="1"/>
    </xf>
    <xf numFmtId="0" fontId="51" fillId="0" borderId="64" xfId="0" applyFont="1" applyFill="1" applyBorder="1" applyAlignment="1">
      <alignment horizontal="left" vertical="center"/>
    </xf>
    <xf numFmtId="0" fontId="51" fillId="0" borderId="65" xfId="0" applyFont="1" applyFill="1" applyBorder="1" applyAlignment="1">
      <alignment horizontal="left" vertical="center"/>
    </xf>
    <xf numFmtId="0" fontId="41" fillId="0" borderId="0" xfId="0" applyFont="1" applyFill="1" applyAlignment="1" applyProtection="1">
      <alignment horizontal="center" vertical="center"/>
      <protection/>
    </xf>
    <xf numFmtId="164" fontId="50" fillId="0" borderId="35" xfId="0" applyNumberFormat="1" applyFont="1" applyFill="1" applyBorder="1" applyAlignment="1" applyProtection="1">
      <alignment horizontal="center" vertical="center"/>
      <protection/>
    </xf>
    <xf numFmtId="164" fontId="50" fillId="0" borderId="41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left" vertical="center"/>
      <protection/>
    </xf>
    <xf numFmtId="1" fontId="41" fillId="0" borderId="0" xfId="0" applyNumberFormat="1" applyFont="1" applyAlignment="1" applyProtection="1">
      <alignment horizontal="center" vertical="center"/>
      <protection/>
    </xf>
    <xf numFmtId="0" fontId="36" fillId="0" borderId="0" xfId="0" applyFont="1" applyBorder="1" applyAlignment="1" applyProtection="1">
      <alignment horizontal="center" vertical="center"/>
      <protection/>
    </xf>
    <xf numFmtId="49" fontId="45" fillId="0" borderId="0" xfId="0" applyNumberFormat="1" applyFont="1" applyAlignment="1" applyProtection="1">
      <alignment horizontal="left" vertical="center"/>
      <protection/>
    </xf>
    <xf numFmtId="0" fontId="51" fillId="0" borderId="64" xfId="0" applyFont="1" applyFill="1" applyBorder="1" applyAlignment="1">
      <alignment horizontal="center" vertical="center"/>
    </xf>
    <xf numFmtId="0" fontId="51" fillId="0" borderId="65" xfId="0" applyFont="1" applyFill="1" applyBorder="1" applyAlignment="1">
      <alignment horizontal="center" vertical="center"/>
    </xf>
    <xf numFmtId="0" fontId="51" fillId="0" borderId="66" xfId="0" applyFont="1" applyFill="1" applyBorder="1" applyAlignment="1">
      <alignment horizontal="center" vertical="center"/>
    </xf>
    <xf numFmtId="0" fontId="45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1" fillId="4" borderId="0" xfId="0" applyFont="1" applyFill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Alignment="1" applyProtection="1">
      <alignment horizontal="center" vertical="center"/>
      <protection/>
    </xf>
    <xf numFmtId="164" fontId="46" fillId="11" borderId="0" xfId="0" applyNumberFormat="1" applyFont="1" applyFill="1" applyAlignment="1" applyProtection="1">
      <alignment horizontal="center" wrapText="1"/>
      <protection/>
    </xf>
    <xf numFmtId="164" fontId="21" fillId="0" borderId="0" xfId="0" applyNumberFormat="1" applyFont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24" borderId="59" xfId="0" applyFont="1" applyFill="1" applyBorder="1" applyAlignment="1">
      <alignment vertical="center"/>
    </xf>
    <xf numFmtId="0" fontId="0" fillId="24" borderId="59" xfId="0" applyFont="1" applyFill="1" applyBorder="1" applyAlignment="1">
      <alignment horizontal="center" vertical="center"/>
    </xf>
    <xf numFmtId="164" fontId="0" fillId="24" borderId="59" xfId="0" applyNumberFormat="1" applyFont="1" applyFill="1" applyBorder="1" applyAlignment="1">
      <alignment horizontal="center" vertical="center"/>
    </xf>
    <xf numFmtId="1" fontId="49" fillId="0" borderId="0" xfId="0" applyNumberFormat="1" applyFont="1" applyAlignment="1" applyProtection="1">
      <alignment horizontal="center" vertical="center"/>
      <protection/>
    </xf>
    <xf numFmtId="0" fontId="54" fillId="0" borderId="0" xfId="0" applyFont="1" applyAlignment="1" applyProtection="1">
      <alignment horizontal="center" vertical="center"/>
      <protection/>
    </xf>
    <xf numFmtId="0" fontId="0" fillId="24" borderId="59" xfId="0" applyFont="1" applyFill="1" applyBorder="1" applyAlignment="1">
      <alignment horizontal="left" vertical="center"/>
    </xf>
    <xf numFmtId="0" fontId="0" fillId="24" borderId="0" xfId="0" applyFont="1" applyFill="1" applyBorder="1" applyAlignment="1">
      <alignment horizontal="left" vertical="center"/>
    </xf>
    <xf numFmtId="0" fontId="54" fillId="0" borderId="0" xfId="0" applyFont="1" applyFill="1" applyAlignment="1" applyProtection="1">
      <alignment horizontal="center" vertical="center"/>
      <protection/>
    </xf>
    <xf numFmtId="0" fontId="54" fillId="0" borderId="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50" fillId="0" borderId="0" xfId="0" applyFont="1" applyBorder="1" applyAlignment="1" applyProtection="1">
      <alignment horizontal="center" vertical="center"/>
      <protection locked="0"/>
    </xf>
    <xf numFmtId="164" fontId="50" fillId="0" borderId="0" xfId="0" applyNumberFormat="1" applyFont="1" applyFill="1" applyBorder="1" applyAlignment="1" applyProtection="1">
      <alignment horizontal="center" vertical="center"/>
      <protection/>
    </xf>
    <xf numFmtId="0" fontId="50" fillId="0" borderId="0" xfId="0" applyFont="1" applyBorder="1" applyAlignment="1" applyProtection="1">
      <alignment horizontal="center" vertical="center"/>
      <protection/>
    </xf>
    <xf numFmtId="168" fontId="41" fillId="0" borderId="0" xfId="0" applyNumberFormat="1" applyFont="1" applyBorder="1" applyAlignment="1" applyProtection="1">
      <alignment horizontal="center" vertical="center"/>
      <protection/>
    </xf>
    <xf numFmtId="49" fontId="45" fillId="0" borderId="0" xfId="0" applyNumberFormat="1" applyFont="1" applyBorder="1" applyAlignment="1" applyProtection="1">
      <alignment horizontal="left" vertical="center"/>
      <protection/>
    </xf>
    <xf numFmtId="1" fontId="45" fillId="0" borderId="0" xfId="0" applyNumberFormat="1" applyFont="1" applyBorder="1" applyAlignment="1" applyProtection="1">
      <alignment horizontal="center" vertical="center"/>
      <protection/>
    </xf>
    <xf numFmtId="164" fontId="45" fillId="0" borderId="0" xfId="0" applyNumberFormat="1" applyFont="1" applyBorder="1" applyAlignment="1" applyProtection="1">
      <alignment horizontal="center" vertical="center"/>
      <protection/>
    </xf>
    <xf numFmtId="0" fontId="45" fillId="0" borderId="0" xfId="0" applyFont="1" applyBorder="1" applyAlignment="1" applyProtection="1">
      <alignment horizontal="center" vertical="center"/>
      <protection/>
    </xf>
    <xf numFmtId="0" fontId="45" fillId="16" borderId="0" xfId="0" applyFont="1" applyFill="1" applyBorder="1" applyAlignment="1" applyProtection="1">
      <alignment vertical="center"/>
      <protection/>
    </xf>
    <xf numFmtId="0" fontId="45" fillId="0" borderId="0" xfId="0" applyFont="1" applyBorder="1" applyAlignment="1" applyProtection="1">
      <alignment horizontal="left" vertical="center"/>
      <protection/>
    </xf>
    <xf numFmtId="0" fontId="50" fillId="24" borderId="0" xfId="0" applyNumberFormat="1" applyFont="1" applyFill="1" applyBorder="1" applyAlignment="1" applyProtection="1">
      <alignment horizontal="center" vertical="center"/>
      <protection/>
    </xf>
    <xf numFmtId="0" fontId="52" fillId="0" borderId="0" xfId="0" applyFont="1" applyFill="1" applyBorder="1" applyAlignment="1" applyProtection="1">
      <alignment horizontal="center" vertical="center" textRotation="90"/>
      <protection/>
    </xf>
    <xf numFmtId="0" fontId="50" fillId="0" borderId="0" xfId="0" applyFont="1" applyBorder="1" applyAlignment="1" applyProtection="1">
      <alignment horizontal="center" vertical="center" wrapText="1"/>
      <protection locked="0"/>
    </xf>
    <xf numFmtId="0" fontId="52" fillId="0" borderId="0" xfId="0" applyFont="1" applyFill="1" applyBorder="1" applyAlignment="1" applyProtection="1">
      <alignment horizontal="center" vertical="center" textRotation="90" wrapText="1"/>
      <protection/>
    </xf>
    <xf numFmtId="0" fontId="55" fillId="0" borderId="0" xfId="0" applyFont="1" applyFill="1" applyAlignment="1" applyProtection="1">
      <alignment horizontal="center" vertical="center"/>
      <protection/>
    </xf>
    <xf numFmtId="0" fontId="56" fillId="0" borderId="0" xfId="0" applyFont="1" applyAlignment="1" applyProtection="1">
      <alignment horizontal="center" vertical="center" wrapText="1"/>
      <protection/>
    </xf>
    <xf numFmtId="0" fontId="56" fillId="0" borderId="0" xfId="0" applyFont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  <xf numFmtId="0" fontId="57" fillId="0" borderId="0" xfId="0" applyFont="1" applyAlignment="1">
      <alignment/>
    </xf>
    <xf numFmtId="0" fontId="58" fillId="4" borderId="0" xfId="0" applyFont="1" applyFill="1" applyAlignment="1" applyProtection="1">
      <alignment horizontal="center" vertical="center" wrapText="1"/>
      <protection/>
    </xf>
    <xf numFmtId="49" fontId="59" fillId="28" borderId="0" xfId="0" applyNumberFormat="1" applyFont="1" applyFill="1" applyAlignment="1" applyProtection="1">
      <alignment horizontal="center" wrapText="1"/>
      <protection/>
    </xf>
    <xf numFmtId="49" fontId="59" fillId="11" borderId="0" xfId="0" applyNumberFormat="1" applyFont="1" applyFill="1" applyAlignment="1" applyProtection="1">
      <alignment horizontal="center" wrapText="1"/>
      <protection/>
    </xf>
    <xf numFmtId="49" fontId="59" fillId="10" borderId="0" xfId="0" applyNumberFormat="1" applyFont="1" applyFill="1" applyAlignment="1" applyProtection="1">
      <alignment horizontal="center" wrapText="1"/>
      <protection/>
    </xf>
    <xf numFmtId="0" fontId="61" fillId="0" borderId="0" xfId="0" applyFont="1" applyAlignment="1" applyProtection="1">
      <alignment horizontal="center" vertical="center" wrapText="1"/>
      <protection/>
    </xf>
    <xf numFmtId="0" fontId="62" fillId="0" borderId="0" xfId="0" applyFont="1" applyBorder="1" applyAlignment="1" applyProtection="1">
      <alignment horizontal="center" vertical="center"/>
      <protection/>
    </xf>
    <xf numFmtId="0" fontId="45" fillId="0" borderId="0" xfId="0" applyFont="1" applyFill="1" applyBorder="1" applyAlignment="1" applyProtection="1">
      <alignment vertical="center"/>
      <protection/>
    </xf>
    <xf numFmtId="0" fontId="45" fillId="0" borderId="0" xfId="0" applyFont="1" applyFill="1" applyBorder="1" applyAlignment="1" applyProtection="1">
      <alignment horizontal="center" vertical="center"/>
      <protection/>
    </xf>
    <xf numFmtId="0" fontId="55" fillId="0" borderId="0" xfId="0" applyFont="1" applyBorder="1" applyAlignment="1" applyProtection="1">
      <alignment horizontal="center" vertical="center"/>
      <protection/>
    </xf>
    <xf numFmtId="0" fontId="63" fillId="0" borderId="0" xfId="0" applyFont="1" applyFill="1" applyAlignment="1" applyProtection="1">
      <alignment horizontal="center" vertical="center"/>
      <protection/>
    </xf>
    <xf numFmtId="0" fontId="64" fillId="0" borderId="0" xfId="0" applyFont="1" applyAlignment="1" applyProtection="1">
      <alignment horizontal="center" vertical="center" wrapText="1"/>
      <protection/>
    </xf>
    <xf numFmtId="0" fontId="65" fillId="0" borderId="0" xfId="0" applyFont="1" applyAlignment="1">
      <alignment/>
    </xf>
    <xf numFmtId="0" fontId="66" fillId="0" borderId="0" xfId="0" applyFont="1" applyAlignment="1" applyProtection="1">
      <alignment horizontal="center" vertical="center" wrapText="1"/>
      <protection/>
    </xf>
    <xf numFmtId="0" fontId="63" fillId="0" borderId="0" xfId="0" applyFont="1" applyAlignment="1" applyProtection="1">
      <alignment horizontal="center" vertical="center"/>
      <protection/>
    </xf>
    <xf numFmtId="0" fontId="51" fillId="0" borderId="35" xfId="0" applyFont="1" applyBorder="1" applyAlignment="1" applyProtection="1">
      <alignment horizontal="left" vertical="center"/>
      <protection/>
    </xf>
    <xf numFmtId="0" fontId="51" fillId="0" borderId="41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center"/>
      <protection/>
    </xf>
    <xf numFmtId="0" fontId="36" fillId="0" borderId="35" xfId="0" applyFont="1" applyBorder="1" applyAlignment="1" applyProtection="1">
      <alignment horizontal="center" vertical="center"/>
      <protection locked="0"/>
    </xf>
    <xf numFmtId="164" fontId="36" fillId="0" borderId="35" xfId="0" applyNumberFormat="1" applyFont="1" applyFill="1" applyBorder="1" applyAlignment="1" applyProtection="1">
      <alignment horizontal="center" vertical="center"/>
      <protection/>
    </xf>
    <xf numFmtId="0" fontId="36" fillId="0" borderId="36" xfId="0" applyFont="1" applyBorder="1" applyAlignment="1" applyProtection="1">
      <alignment horizontal="center" vertical="center"/>
      <protection/>
    </xf>
    <xf numFmtId="0" fontId="36" fillId="0" borderId="38" xfId="0" applyFont="1" applyBorder="1" applyAlignment="1" applyProtection="1">
      <alignment horizontal="center" vertical="center"/>
      <protection locked="0"/>
    </xf>
    <xf numFmtId="164" fontId="36" fillId="0" borderId="41" xfId="0" applyNumberFormat="1" applyFont="1" applyFill="1" applyBorder="1" applyAlignment="1" applyProtection="1">
      <alignment horizontal="center" vertical="center"/>
      <protection/>
    </xf>
    <xf numFmtId="0" fontId="36" fillId="0" borderId="39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36" fillId="0" borderId="41" xfId="0" applyFont="1" applyBorder="1" applyAlignment="1" applyProtection="1">
      <alignment horizontal="center" vertical="center"/>
      <protection locked="0"/>
    </xf>
    <xf numFmtId="0" fontId="36" fillId="0" borderId="44" xfId="0" applyFont="1" applyBorder="1" applyAlignment="1" applyProtection="1">
      <alignment horizontal="center" vertical="center"/>
      <protection/>
    </xf>
    <xf numFmtId="0" fontId="51" fillId="0" borderId="67" xfId="0" applyFont="1" applyBorder="1" applyAlignment="1" applyProtection="1">
      <alignment horizontal="left" vertical="center"/>
      <protection/>
    </xf>
    <xf numFmtId="0" fontId="26" fillId="0" borderId="29" xfId="0" applyFont="1" applyBorder="1" applyAlignment="1" applyProtection="1">
      <alignment horizontal="center" vertical="center"/>
      <protection/>
    </xf>
    <xf numFmtId="0" fontId="26" fillId="0" borderId="30" xfId="0" applyFont="1" applyBorder="1" applyAlignment="1" applyProtection="1">
      <alignment horizontal="center" vertical="center"/>
      <protection/>
    </xf>
    <xf numFmtId="0" fontId="28" fillId="0" borderId="29" xfId="0" applyFont="1" applyBorder="1" applyAlignment="1" applyProtection="1">
      <alignment horizontal="center" vertical="center"/>
      <protection/>
    </xf>
    <xf numFmtId="0" fontId="28" fillId="0" borderId="30" xfId="0" applyFont="1" applyBorder="1" applyAlignment="1" applyProtection="1">
      <alignment horizontal="center" vertical="center"/>
      <protection/>
    </xf>
    <xf numFmtId="0" fontId="21" fillId="0" borderId="5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1" fillId="0" borderId="56" xfId="0" applyFont="1" applyFill="1" applyBorder="1" applyAlignment="1" applyProtection="1">
      <alignment horizontal="center" vertical="center"/>
      <protection/>
    </xf>
    <xf numFmtId="0" fontId="0" fillId="22" borderId="0" xfId="0" applyFill="1" applyAlignment="1" applyProtection="1">
      <alignment horizontal="left" vertical="center"/>
      <protection/>
    </xf>
    <xf numFmtId="0" fontId="0" fillId="22" borderId="0" xfId="0" applyFill="1" applyAlignment="1" applyProtection="1">
      <alignment horizontal="center" vertical="center"/>
      <protection/>
    </xf>
    <xf numFmtId="164" fontId="0" fillId="22" borderId="0" xfId="0" applyNumberFormat="1" applyFill="1" applyAlignment="1" applyProtection="1">
      <alignment horizontal="center" vertical="center"/>
      <protection/>
    </xf>
    <xf numFmtId="0" fontId="0" fillId="22" borderId="0" xfId="0" applyFont="1" applyFill="1" applyAlignment="1" applyProtection="1">
      <alignment horizontal="left" vertical="center"/>
      <protection/>
    </xf>
    <xf numFmtId="0" fontId="0" fillId="0" borderId="59" xfId="0" applyBorder="1" applyAlignment="1" applyProtection="1">
      <alignment horizontal="center" vertical="center"/>
      <protection/>
    </xf>
    <xf numFmtId="0" fontId="0" fillId="0" borderId="61" xfId="0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left" vertical="center"/>
      <protection/>
    </xf>
    <xf numFmtId="0" fontId="0" fillId="0" borderId="65" xfId="0" applyBorder="1" applyAlignment="1" applyProtection="1">
      <alignment horizontal="left" vertical="center"/>
      <protection/>
    </xf>
    <xf numFmtId="0" fontId="0" fillId="4" borderId="65" xfId="0" applyFill="1" applyBorder="1" applyAlignment="1" applyProtection="1">
      <alignment horizontal="left" vertical="center"/>
      <protection/>
    </xf>
    <xf numFmtId="0" fontId="0" fillId="4" borderId="0" xfId="0" applyFill="1" applyBorder="1" applyAlignment="1" applyProtection="1">
      <alignment horizontal="center" vertical="center"/>
      <protection/>
    </xf>
    <xf numFmtId="0" fontId="0" fillId="4" borderId="62" xfId="0" applyFill="1" applyBorder="1" applyAlignment="1" applyProtection="1">
      <alignment horizontal="center" vertical="center"/>
      <protection/>
    </xf>
    <xf numFmtId="0" fontId="0" fillId="4" borderId="66" xfId="0" applyFill="1" applyBorder="1" applyAlignment="1" applyProtection="1">
      <alignment horizontal="left" vertical="center"/>
      <protection/>
    </xf>
    <xf numFmtId="0" fontId="0" fillId="4" borderId="60" xfId="0" applyFill="1" applyBorder="1" applyAlignment="1" applyProtection="1">
      <alignment horizontal="center" vertical="center"/>
      <protection/>
    </xf>
    <xf numFmtId="0" fontId="0" fillId="4" borderId="63" xfId="0" applyFill="1" applyBorder="1" applyAlignment="1" applyProtection="1">
      <alignment horizontal="center" vertical="center"/>
      <protection/>
    </xf>
    <xf numFmtId="0" fontId="0" fillId="19" borderId="65" xfId="0" applyFill="1" applyBorder="1" applyAlignment="1" applyProtection="1">
      <alignment horizontal="left" vertical="center"/>
      <protection/>
    </xf>
    <xf numFmtId="0" fontId="0" fillId="19" borderId="0" xfId="0" applyFill="1" applyBorder="1" applyAlignment="1" applyProtection="1">
      <alignment horizontal="center" vertical="center"/>
      <protection/>
    </xf>
    <xf numFmtId="0" fontId="0" fillId="19" borderId="62" xfId="0" applyFill="1" applyBorder="1" applyAlignment="1" applyProtection="1">
      <alignment horizontal="center" vertical="center"/>
      <protection/>
    </xf>
    <xf numFmtId="0" fontId="0" fillId="19" borderId="66" xfId="0" applyFill="1" applyBorder="1" applyAlignment="1" applyProtection="1">
      <alignment horizontal="left" vertical="center"/>
      <protection/>
    </xf>
    <xf numFmtId="0" fontId="0" fillId="19" borderId="60" xfId="0" applyFill="1" applyBorder="1" applyAlignment="1" applyProtection="1">
      <alignment horizontal="center" vertical="center"/>
      <protection/>
    </xf>
    <xf numFmtId="0" fontId="0" fillId="19" borderId="63" xfId="0" applyFill="1" applyBorder="1" applyAlignment="1" applyProtection="1">
      <alignment horizontal="center" vertical="center"/>
      <protection/>
    </xf>
    <xf numFmtId="0" fontId="55" fillId="0" borderId="59" xfId="0" applyFont="1" applyBorder="1" applyAlignment="1" applyProtection="1">
      <alignment horizontal="left" vertical="center"/>
      <protection/>
    </xf>
    <xf numFmtId="0" fontId="55" fillId="0" borderId="59" xfId="0" applyFont="1" applyBorder="1" applyAlignment="1" applyProtection="1">
      <alignment horizontal="center" vertical="center"/>
      <protection/>
    </xf>
    <xf numFmtId="0" fontId="55" fillId="0" borderId="61" xfId="0" applyFont="1" applyBorder="1" applyAlignment="1" applyProtection="1">
      <alignment horizontal="center" vertical="center"/>
      <protection/>
    </xf>
    <xf numFmtId="0" fontId="55" fillId="0" borderId="0" xfId="0" applyFont="1" applyBorder="1" applyAlignment="1" applyProtection="1">
      <alignment horizontal="left" vertical="center"/>
      <protection/>
    </xf>
    <xf numFmtId="0" fontId="55" fillId="0" borderId="62" xfId="0" applyFont="1" applyBorder="1" applyAlignment="1" applyProtection="1">
      <alignment horizontal="center" vertical="center"/>
      <protection/>
    </xf>
    <xf numFmtId="164" fontId="55" fillId="0" borderId="59" xfId="0" applyNumberFormat="1" applyFont="1" applyBorder="1" applyAlignment="1" applyProtection="1">
      <alignment horizontal="center" vertical="center"/>
      <protection/>
    </xf>
    <xf numFmtId="164" fontId="55" fillId="0" borderId="0" xfId="0" applyNumberFormat="1" applyFont="1" applyBorder="1" applyAlignment="1" applyProtection="1">
      <alignment horizontal="center" vertical="center"/>
      <protection/>
    </xf>
    <xf numFmtId="164" fontId="55" fillId="0" borderId="0" xfId="0" applyNumberFormat="1" applyFont="1" applyAlignment="1" applyProtection="1">
      <alignment horizontal="center" vertical="center"/>
      <protection/>
    </xf>
    <xf numFmtId="0" fontId="55" fillId="10" borderId="0" xfId="0" applyFont="1" applyFill="1" applyBorder="1" applyAlignment="1" applyProtection="1">
      <alignment horizontal="left" vertical="center"/>
      <protection/>
    </xf>
    <xf numFmtId="0" fontId="55" fillId="10" borderId="0" xfId="0" applyFont="1" applyFill="1" applyBorder="1" applyAlignment="1" applyProtection="1">
      <alignment horizontal="center" vertical="center"/>
      <protection/>
    </xf>
    <xf numFmtId="164" fontId="55" fillId="10" borderId="0" xfId="0" applyNumberFormat="1" applyFont="1" applyFill="1" applyBorder="1" applyAlignment="1" applyProtection="1">
      <alignment horizontal="center" vertical="center"/>
      <protection/>
    </xf>
    <xf numFmtId="0" fontId="55" fillId="10" borderId="62" xfId="0" applyFont="1" applyFill="1" applyBorder="1" applyAlignment="1" applyProtection="1">
      <alignment horizontal="center" vertical="center"/>
      <protection/>
    </xf>
    <xf numFmtId="0" fontId="55" fillId="10" borderId="60" xfId="0" applyFont="1" applyFill="1" applyBorder="1" applyAlignment="1" applyProtection="1">
      <alignment horizontal="left" vertical="center"/>
      <protection/>
    </xf>
    <xf numFmtId="0" fontId="55" fillId="10" borderId="60" xfId="0" applyFont="1" applyFill="1" applyBorder="1" applyAlignment="1" applyProtection="1">
      <alignment horizontal="center" vertical="center"/>
      <protection/>
    </xf>
    <xf numFmtId="164" fontId="55" fillId="10" borderId="60" xfId="0" applyNumberFormat="1" applyFont="1" applyFill="1" applyBorder="1" applyAlignment="1" applyProtection="1">
      <alignment horizontal="center" vertical="center"/>
      <protection/>
    </xf>
    <xf numFmtId="0" fontId="55" fillId="10" borderId="63" xfId="0" applyFont="1" applyFill="1" applyBorder="1" applyAlignment="1" applyProtection="1">
      <alignment horizontal="center" vertical="center"/>
      <protection/>
    </xf>
    <xf numFmtId="0" fontId="45" fillId="0" borderId="64" xfId="0" applyFont="1" applyBorder="1" applyAlignment="1" applyProtection="1">
      <alignment horizontal="left" vertical="center"/>
      <protection/>
    </xf>
    <xf numFmtId="1" fontId="45" fillId="0" borderId="59" xfId="0" applyNumberFormat="1" applyFont="1" applyBorder="1" applyAlignment="1" applyProtection="1">
      <alignment horizontal="center" vertical="center"/>
      <protection/>
    </xf>
    <xf numFmtId="164" fontId="45" fillId="0" borderId="59" xfId="0" applyNumberFormat="1" applyFont="1" applyBorder="1" applyAlignment="1" applyProtection="1">
      <alignment horizontal="center" vertical="center"/>
      <protection/>
    </xf>
    <xf numFmtId="1" fontId="45" fillId="0" borderId="61" xfId="0" applyNumberFormat="1" applyFont="1" applyBorder="1" applyAlignment="1" applyProtection="1">
      <alignment horizontal="center" vertical="center"/>
      <protection/>
    </xf>
    <xf numFmtId="0" fontId="45" fillId="0" borderId="65" xfId="0" applyFont="1" applyBorder="1" applyAlignment="1" applyProtection="1">
      <alignment horizontal="left" vertical="center"/>
      <protection/>
    </xf>
    <xf numFmtId="1" fontId="45" fillId="0" borderId="62" xfId="0" applyNumberFormat="1" applyFont="1" applyBorder="1" applyAlignment="1" applyProtection="1">
      <alignment horizontal="center" vertical="center"/>
      <protection/>
    </xf>
    <xf numFmtId="49" fontId="45" fillId="0" borderId="65" xfId="0" applyNumberFormat="1" applyFont="1" applyBorder="1" applyAlignment="1" applyProtection="1">
      <alignment horizontal="left" vertical="center"/>
      <protection/>
    </xf>
    <xf numFmtId="49" fontId="45" fillId="0" borderId="66" xfId="0" applyNumberFormat="1" applyFont="1" applyBorder="1" applyAlignment="1" applyProtection="1">
      <alignment horizontal="left" vertical="center"/>
      <protection/>
    </xf>
    <xf numFmtId="1" fontId="45" fillId="0" borderId="60" xfId="0" applyNumberFormat="1" applyFont="1" applyBorder="1" applyAlignment="1" applyProtection="1">
      <alignment horizontal="center" vertical="center"/>
      <protection/>
    </xf>
    <xf numFmtId="164" fontId="45" fillId="0" borderId="60" xfId="0" applyNumberFormat="1" applyFont="1" applyBorder="1" applyAlignment="1" applyProtection="1">
      <alignment horizontal="center" vertical="center"/>
      <protection/>
    </xf>
    <xf numFmtId="1" fontId="45" fillId="0" borderId="63" xfId="0" applyNumberFormat="1" applyFont="1" applyBorder="1" applyAlignment="1" applyProtection="1">
      <alignment horizontal="center" vertical="center"/>
      <protection/>
    </xf>
    <xf numFmtId="0" fontId="55" fillId="19" borderId="0" xfId="0" applyFont="1" applyFill="1" applyBorder="1" applyAlignment="1" applyProtection="1">
      <alignment horizontal="center" vertical="center"/>
      <protection/>
    </xf>
    <xf numFmtId="0" fontId="55" fillId="19" borderId="62" xfId="0" applyFont="1" applyFill="1" applyBorder="1" applyAlignment="1" applyProtection="1">
      <alignment horizontal="center" vertical="center"/>
      <protection/>
    </xf>
    <xf numFmtId="0" fontId="55" fillId="19" borderId="60" xfId="0" applyFont="1" applyFill="1" applyBorder="1" applyAlignment="1" applyProtection="1">
      <alignment horizontal="center" vertical="center"/>
      <protection/>
    </xf>
    <xf numFmtId="0" fontId="55" fillId="19" borderId="63" xfId="0" applyFont="1" applyFill="1" applyBorder="1" applyAlignment="1" applyProtection="1">
      <alignment horizontal="center" vertical="center"/>
      <protection/>
    </xf>
    <xf numFmtId="0" fontId="55" fillId="0" borderId="64" xfId="0" applyFont="1" applyBorder="1" applyAlignment="1" applyProtection="1">
      <alignment horizontal="left" vertical="center"/>
      <protection/>
    </xf>
    <xf numFmtId="0" fontId="55" fillId="0" borderId="65" xfId="0" applyFont="1" applyBorder="1" applyAlignment="1" applyProtection="1">
      <alignment horizontal="left" vertical="center"/>
      <protection/>
    </xf>
    <xf numFmtId="0" fontId="55" fillId="19" borderId="65" xfId="0" applyFont="1" applyFill="1" applyBorder="1" applyAlignment="1" applyProtection="1">
      <alignment horizontal="left" vertical="center"/>
      <protection/>
    </xf>
    <xf numFmtId="0" fontId="55" fillId="19" borderId="66" xfId="0" applyFont="1" applyFill="1" applyBorder="1" applyAlignment="1" applyProtection="1">
      <alignment horizontal="left" vertical="center"/>
      <protection/>
    </xf>
    <xf numFmtId="49" fontId="45" fillId="0" borderId="64" xfId="0" applyNumberFormat="1" applyFont="1" applyBorder="1" applyAlignment="1" applyProtection="1">
      <alignment horizontal="left" vertical="center"/>
      <protection/>
    </xf>
    <xf numFmtId="0" fontId="55" fillId="0" borderId="64" xfId="0" applyFont="1" applyBorder="1" applyAlignment="1" applyProtection="1">
      <alignment horizontal="center" vertical="center"/>
      <protection/>
    </xf>
    <xf numFmtId="0" fontId="45" fillId="0" borderId="62" xfId="0" applyFont="1" applyFill="1" applyBorder="1" applyAlignment="1" applyProtection="1">
      <alignment horizontal="center" vertical="center"/>
      <protection/>
    </xf>
    <xf numFmtId="49" fontId="45" fillId="0" borderId="59" xfId="0" applyNumberFormat="1" applyFont="1" applyBorder="1" applyAlignment="1" applyProtection="1">
      <alignment horizontal="left" vertical="center"/>
      <protection/>
    </xf>
    <xf numFmtId="49" fontId="45" fillId="0" borderId="60" xfId="0" applyNumberFormat="1" applyFont="1" applyBorder="1" applyAlignment="1" applyProtection="1">
      <alignment horizontal="left" vertical="center"/>
      <protection/>
    </xf>
    <xf numFmtId="0" fontId="55" fillId="10" borderId="65" xfId="0" applyFont="1" applyFill="1" applyBorder="1" applyAlignment="1" applyProtection="1">
      <alignment horizontal="left" vertical="center"/>
      <protection/>
    </xf>
    <xf numFmtId="0" fontId="55" fillId="10" borderId="66" xfId="0" applyFont="1" applyFill="1" applyBorder="1" applyAlignment="1" applyProtection="1">
      <alignment horizontal="left" vertical="center"/>
      <protection/>
    </xf>
    <xf numFmtId="0" fontId="0" fillId="19" borderId="65" xfId="0" applyFont="1" applyFill="1" applyBorder="1" applyAlignment="1" applyProtection="1">
      <alignment horizontal="left" vertical="center"/>
      <protection/>
    </xf>
    <xf numFmtId="0" fontId="0" fillId="19" borderId="0" xfId="0" applyFont="1" applyFill="1" applyBorder="1" applyAlignment="1" applyProtection="1">
      <alignment horizontal="center" vertical="center"/>
      <protection/>
    </xf>
    <xf numFmtId="0" fontId="0" fillId="19" borderId="62" xfId="0" applyFont="1" applyFill="1" applyBorder="1" applyAlignment="1" applyProtection="1">
      <alignment horizontal="center" vertical="center"/>
      <protection/>
    </xf>
    <xf numFmtId="0" fontId="0" fillId="19" borderId="66" xfId="0" applyFont="1" applyFill="1" applyBorder="1" applyAlignment="1" applyProtection="1">
      <alignment horizontal="left" vertical="center"/>
      <protection/>
    </xf>
    <xf numFmtId="0" fontId="0" fillId="19" borderId="60" xfId="0" applyFont="1" applyFill="1" applyBorder="1" applyAlignment="1" applyProtection="1">
      <alignment horizontal="center" vertical="center"/>
      <protection/>
    </xf>
    <xf numFmtId="0" fontId="0" fillId="19" borderId="63" xfId="0" applyFont="1" applyFill="1" applyBorder="1" applyAlignment="1" applyProtection="1">
      <alignment horizontal="center" vertical="center"/>
      <protection/>
    </xf>
    <xf numFmtId="0" fontId="55" fillId="10" borderId="66" xfId="0" applyFont="1" applyFill="1" applyBorder="1" applyAlignment="1" applyProtection="1">
      <alignment horizontal="center" vertical="center"/>
      <protection/>
    </xf>
    <xf numFmtId="0" fontId="55" fillId="19" borderId="66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1" fontId="49" fillId="0" borderId="0" xfId="0" applyNumberFormat="1" applyFont="1" applyBorder="1" applyAlignment="1" applyProtection="1">
      <alignment horizontal="center" vertical="center"/>
      <protection/>
    </xf>
    <xf numFmtId="0" fontId="1" fillId="0" borderId="68" xfId="0" applyFont="1" applyFill="1" applyBorder="1" applyAlignment="1">
      <alignment vertical="center"/>
    </xf>
    <xf numFmtId="0" fontId="37" fillId="0" borderId="69" xfId="0" applyFont="1" applyFill="1" applyBorder="1" applyAlignment="1">
      <alignment horizontal="center" vertical="center"/>
    </xf>
    <xf numFmtId="164" fontId="37" fillId="0" borderId="69" xfId="0" applyNumberFormat="1" applyFont="1" applyFill="1" applyBorder="1" applyAlignment="1">
      <alignment horizontal="center" vertical="center"/>
    </xf>
    <xf numFmtId="0" fontId="37" fillId="0" borderId="70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vertical="center"/>
    </xf>
    <xf numFmtId="0" fontId="37" fillId="0" borderId="46" xfId="0" applyFont="1" applyFill="1" applyBorder="1" applyAlignment="1">
      <alignment horizontal="center" vertical="center"/>
    </xf>
    <xf numFmtId="164" fontId="37" fillId="0" borderId="46" xfId="0" applyNumberFormat="1" applyFont="1" applyFill="1" applyBorder="1" applyAlignment="1">
      <alignment horizontal="center" vertical="center"/>
    </xf>
    <xf numFmtId="0" fontId="37" fillId="0" borderId="72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vertical="center"/>
    </xf>
    <xf numFmtId="0" fontId="0" fillId="0" borderId="46" xfId="0" applyFont="1" applyFill="1" applyBorder="1" applyAlignment="1">
      <alignment horizontal="center" vertical="center"/>
    </xf>
    <xf numFmtId="164" fontId="0" fillId="0" borderId="46" xfId="0" applyNumberFormat="1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vertical="center"/>
    </xf>
    <xf numFmtId="0" fontId="0" fillId="0" borderId="74" xfId="0" applyFont="1" applyFill="1" applyBorder="1" applyAlignment="1">
      <alignment horizontal="center" vertical="center"/>
    </xf>
    <xf numFmtId="164" fontId="0" fillId="0" borderId="74" xfId="0" applyNumberFormat="1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38" fillId="0" borderId="46" xfId="57" applyFont="1" applyBorder="1" applyAlignment="1" applyProtection="1">
      <alignment horizontal="center" vertical="center" wrapText="1"/>
      <protection locked="0"/>
    </xf>
    <xf numFmtId="0" fontId="1" fillId="0" borderId="47" xfId="0" applyFont="1" applyBorder="1" applyAlignment="1">
      <alignment wrapText="1"/>
    </xf>
    <xf numFmtId="0" fontId="31" fillId="24" borderId="0" xfId="0" applyFont="1" applyFill="1" applyAlignment="1">
      <alignment horizontal="center" wrapText="1"/>
    </xf>
    <xf numFmtId="0" fontId="25" fillId="24" borderId="0" xfId="0" applyFont="1" applyFill="1" applyAlignment="1">
      <alignment horizontal="center" wrapText="1"/>
    </xf>
    <xf numFmtId="0" fontId="30" fillId="0" borderId="45" xfId="57" applyFont="1" applyBorder="1" applyAlignment="1">
      <alignment wrapText="1"/>
      <protection/>
    </xf>
    <xf numFmtId="0" fontId="1" fillId="0" borderId="46" xfId="0" applyFont="1" applyBorder="1" applyAlignment="1">
      <alignment wrapText="1"/>
    </xf>
    <xf numFmtId="0" fontId="37" fillId="0" borderId="46" xfId="57" applyFont="1" applyBorder="1" applyAlignment="1" applyProtection="1">
      <alignment horizontal="left" vertical="center" wrapText="1"/>
      <protection locked="0"/>
    </xf>
    <xf numFmtId="0" fontId="30" fillId="0" borderId="46" xfId="57" applyFont="1" applyBorder="1" applyAlignment="1">
      <alignment horizontal="center" wrapText="1"/>
      <protection/>
    </xf>
    <xf numFmtId="0" fontId="38" fillId="0" borderId="35" xfId="57" applyFont="1" applyBorder="1" applyAlignment="1" applyProtection="1">
      <alignment horizontal="center" vertical="center" wrapText="1"/>
      <protection locked="0"/>
    </xf>
    <xf numFmtId="0" fontId="1" fillId="0" borderId="36" xfId="0" applyFont="1" applyBorder="1" applyAlignment="1">
      <alignment wrapText="1"/>
    </xf>
    <xf numFmtId="0" fontId="30" fillId="0" borderId="34" xfId="57" applyFont="1" applyBorder="1" applyAlignment="1">
      <alignment wrapText="1"/>
      <protection/>
    </xf>
    <xf numFmtId="0" fontId="1" fillId="0" borderId="35" xfId="0" applyFont="1" applyBorder="1" applyAlignment="1">
      <alignment wrapText="1"/>
    </xf>
    <xf numFmtId="0" fontId="30" fillId="0" borderId="35" xfId="57" applyFont="1" applyBorder="1" applyAlignment="1">
      <alignment horizontal="center" wrapText="1"/>
      <protection/>
    </xf>
    <xf numFmtId="0" fontId="30" fillId="0" borderId="40" xfId="57" applyFont="1" applyBorder="1" applyAlignment="1">
      <alignment wrapText="1"/>
      <protection/>
    </xf>
    <xf numFmtId="0" fontId="1" fillId="0" borderId="41" xfId="0" applyFont="1" applyBorder="1" applyAlignment="1">
      <alignment wrapText="1"/>
    </xf>
    <xf numFmtId="0" fontId="37" fillId="0" borderId="41" xfId="57" applyFont="1" applyBorder="1" applyAlignment="1" applyProtection="1">
      <alignment horizontal="left" vertical="center" wrapText="1"/>
      <protection locked="0"/>
    </xf>
    <xf numFmtId="0" fontId="30" fillId="0" borderId="41" xfId="57" applyFont="1" applyBorder="1" applyAlignment="1">
      <alignment horizontal="center" wrapText="1"/>
      <protection/>
    </xf>
    <xf numFmtId="0" fontId="38" fillId="0" borderId="41" xfId="57" applyFont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>
      <alignment wrapText="1"/>
    </xf>
    <xf numFmtId="0" fontId="30" fillId="2" borderId="76" xfId="57" applyFont="1" applyFill="1" applyBorder="1" applyAlignment="1">
      <alignment horizontal="center" vertical="center" wrapText="1"/>
      <protection/>
    </xf>
    <xf numFmtId="0" fontId="0" fillId="0" borderId="77" xfId="0" applyBorder="1" applyAlignment="1">
      <alignment wrapText="1"/>
    </xf>
    <xf numFmtId="0" fontId="37" fillId="0" borderId="35" xfId="57" applyFont="1" applyBorder="1" applyAlignment="1" applyProtection="1">
      <alignment horizontal="left" vertical="center" wrapText="1"/>
      <protection locked="0"/>
    </xf>
    <xf numFmtId="0" fontId="30" fillId="2" borderId="78" xfId="57" applyFont="1" applyFill="1" applyBorder="1" applyAlignment="1">
      <alignment horizontal="center" vertical="center" wrapText="1"/>
      <protection/>
    </xf>
    <xf numFmtId="0" fontId="36" fillId="0" borderId="76" xfId="0" applyFont="1" applyBorder="1" applyAlignment="1">
      <alignment wrapText="1"/>
    </xf>
    <xf numFmtId="0" fontId="0" fillId="0" borderId="76" xfId="0" applyBorder="1" applyAlignment="1">
      <alignment wrapText="1"/>
    </xf>
    <xf numFmtId="0" fontId="30" fillId="2" borderId="79" xfId="57" applyFont="1" applyFill="1" applyBorder="1" applyAlignment="1">
      <alignment horizontal="center" vertical="center" wrapText="1"/>
      <protection/>
    </xf>
    <xf numFmtId="0" fontId="0" fillId="0" borderId="80" xfId="0" applyBorder="1" applyAlignment="1">
      <alignment horizontal="center" wrapText="1"/>
    </xf>
    <xf numFmtId="0" fontId="0" fillId="0" borderId="81" xfId="0" applyBorder="1" applyAlignment="1">
      <alignment horizontal="center" wrapText="1"/>
    </xf>
    <xf numFmtId="164" fontId="30" fillId="2" borderId="76" xfId="57" applyNumberFormat="1" applyFont="1" applyFill="1" applyBorder="1" applyAlignment="1">
      <alignment horizontal="center" vertical="center" wrapText="1"/>
      <protection/>
    </xf>
    <xf numFmtId="20" fontId="20" fillId="4" borderId="68" xfId="56" applyNumberFormat="1" applyFont="1" applyFill="1" applyBorder="1" applyAlignment="1">
      <alignment horizontal="center" vertical="center" wrapText="1"/>
      <protection/>
    </xf>
    <xf numFmtId="20" fontId="20" fillId="4" borderId="70" xfId="56" applyNumberFormat="1" applyFont="1" applyFill="1" applyBorder="1" applyAlignment="1">
      <alignment horizontal="center" vertical="center" wrapText="1"/>
      <protection/>
    </xf>
    <xf numFmtId="0" fontId="30" fillId="24" borderId="68" xfId="56" applyFont="1" applyFill="1" applyBorder="1" applyAlignment="1" applyProtection="1">
      <alignment horizontal="center" vertical="center" wrapText="1"/>
      <protection locked="0"/>
    </xf>
    <xf numFmtId="0" fontId="30" fillId="24" borderId="69" xfId="56" applyFont="1" applyFill="1" applyBorder="1" applyAlignment="1" applyProtection="1">
      <alignment horizontal="center" vertical="center" wrapText="1"/>
      <protection locked="0"/>
    </xf>
    <xf numFmtId="0" fontId="20" fillId="11" borderId="10" xfId="56" applyFont="1" applyFill="1" applyBorder="1" applyAlignment="1">
      <alignment horizontal="center" vertical="center"/>
      <protection/>
    </xf>
    <xf numFmtId="0" fontId="20" fillId="11" borderId="82" xfId="56" applyFont="1" applyFill="1" applyBorder="1" applyAlignment="1">
      <alignment horizontal="center" vertical="center"/>
      <protection/>
    </xf>
    <xf numFmtId="0" fontId="20" fillId="11" borderId="83" xfId="56" applyFont="1" applyFill="1" applyBorder="1" applyAlignment="1">
      <alignment horizontal="center" vertical="center"/>
      <protection/>
    </xf>
    <xf numFmtId="0" fontId="35" fillId="0" borderId="84" xfId="56" applyFont="1" applyFill="1" applyBorder="1" applyAlignment="1">
      <alignment horizontal="center" vertical="center" wrapText="1"/>
      <protection/>
    </xf>
    <xf numFmtId="0" fontId="35" fillId="0" borderId="21" xfId="56" applyFont="1" applyFill="1" applyBorder="1" applyAlignment="1">
      <alignment horizontal="center" vertical="center" wrapText="1"/>
      <protection/>
    </xf>
    <xf numFmtId="0" fontId="35" fillId="0" borderId="24" xfId="56" applyFont="1" applyFill="1" applyBorder="1" applyAlignment="1">
      <alignment horizontal="center" vertical="center" wrapText="1"/>
      <protection/>
    </xf>
    <xf numFmtId="0" fontId="20" fillId="4" borderId="85" xfId="56" applyFont="1" applyFill="1" applyBorder="1" applyAlignment="1">
      <alignment horizontal="center" vertical="center" wrapText="1"/>
      <protection/>
    </xf>
    <xf numFmtId="0" fontId="20" fillId="4" borderId="86" xfId="56" applyFont="1" applyFill="1" applyBorder="1" applyAlignment="1">
      <alignment horizontal="center" vertical="center" wrapText="1"/>
      <protection/>
    </xf>
    <xf numFmtId="0" fontId="20" fillId="7" borderId="82" xfId="56" applyFont="1" applyFill="1" applyBorder="1" applyAlignment="1">
      <alignment horizontal="center" vertical="center" wrapText="1"/>
      <protection/>
    </xf>
    <xf numFmtId="0" fontId="20" fillId="7" borderId="11" xfId="56" applyFont="1" applyFill="1" applyBorder="1" applyAlignment="1">
      <alignment horizontal="center" vertical="center" wrapText="1"/>
      <protection/>
    </xf>
    <xf numFmtId="0" fontId="20" fillId="7" borderId="87" xfId="56" applyFont="1" applyFill="1" applyBorder="1" applyAlignment="1">
      <alignment horizontal="center" vertical="center" wrapText="1"/>
      <protection/>
    </xf>
    <xf numFmtId="0" fontId="20" fillId="7" borderId="83" xfId="56" applyFont="1" applyFill="1" applyBorder="1" applyAlignment="1">
      <alignment horizontal="center" vertical="center" wrapText="1"/>
      <protection/>
    </xf>
    <xf numFmtId="0" fontId="30" fillId="24" borderId="70" xfId="56" applyFont="1" applyFill="1" applyBorder="1" applyAlignment="1" applyProtection="1">
      <alignment horizontal="center" vertical="center" wrapText="1"/>
      <protection locked="0"/>
    </xf>
    <xf numFmtId="0" fontId="30" fillId="24" borderId="46" xfId="56" applyFont="1" applyFill="1" applyBorder="1" applyAlignment="1" applyProtection="1">
      <alignment horizontal="center" vertical="center" wrapText="1"/>
      <protection locked="0"/>
    </xf>
    <xf numFmtId="0" fontId="24" fillId="24" borderId="46" xfId="56" applyFont="1" applyFill="1" applyBorder="1" applyAlignment="1" applyProtection="1">
      <alignment horizontal="center" vertical="center" wrapText="1"/>
      <protection locked="0"/>
    </xf>
    <xf numFmtId="0" fontId="24" fillId="24" borderId="72" xfId="56" applyFont="1" applyFill="1" applyBorder="1" applyAlignment="1" applyProtection="1">
      <alignment horizontal="center" vertical="center" wrapText="1"/>
      <protection locked="0"/>
    </xf>
    <xf numFmtId="0" fontId="30" fillId="24" borderId="72" xfId="56" applyFont="1" applyFill="1" applyBorder="1" applyAlignment="1" applyProtection="1">
      <alignment horizontal="center" vertical="center" wrapText="1"/>
      <protection locked="0"/>
    </xf>
    <xf numFmtId="20" fontId="20" fillId="4" borderId="71" xfId="56" applyNumberFormat="1" applyFont="1" applyFill="1" applyBorder="1" applyAlignment="1">
      <alignment horizontal="center" vertical="center" wrapText="1"/>
      <protection/>
    </xf>
    <xf numFmtId="20" fontId="20" fillId="4" borderId="72" xfId="56" applyNumberFormat="1" applyFont="1" applyFill="1" applyBorder="1" applyAlignment="1">
      <alignment horizontal="center" vertical="center" wrapText="1"/>
      <protection/>
    </xf>
    <xf numFmtId="0" fontId="24" fillId="24" borderId="71" xfId="56" applyFont="1" applyFill="1" applyBorder="1" applyAlignment="1" applyProtection="1">
      <alignment horizontal="center" vertical="center" wrapText="1"/>
      <protection locked="0"/>
    </xf>
    <xf numFmtId="0" fontId="30" fillId="24" borderId="71" xfId="56" applyFont="1" applyFill="1" applyBorder="1" applyAlignment="1" applyProtection="1">
      <alignment horizontal="center" vertical="center" wrapText="1"/>
      <protection locked="0"/>
    </xf>
    <xf numFmtId="0" fontId="24" fillId="24" borderId="74" xfId="56" applyFont="1" applyFill="1" applyBorder="1" applyAlignment="1" applyProtection="1">
      <alignment horizontal="center" vertical="center" wrapText="1"/>
      <protection locked="0"/>
    </xf>
    <xf numFmtId="0" fontId="24" fillId="24" borderId="75" xfId="56" applyFont="1" applyFill="1" applyBorder="1" applyAlignment="1" applyProtection="1">
      <alignment horizontal="center" vertical="center" wrapText="1"/>
      <protection locked="0"/>
    </xf>
    <xf numFmtId="20" fontId="20" fillId="4" borderId="73" xfId="56" applyNumberFormat="1" applyFont="1" applyFill="1" applyBorder="1" applyAlignment="1">
      <alignment horizontal="center" vertical="center" wrapText="1"/>
      <protection/>
    </xf>
    <xf numFmtId="20" fontId="20" fillId="4" borderId="75" xfId="56" applyNumberFormat="1" applyFont="1" applyFill="1" applyBorder="1" applyAlignment="1">
      <alignment horizontal="center" vertical="center" wrapText="1"/>
      <protection/>
    </xf>
    <xf numFmtId="0" fontId="24" fillId="24" borderId="73" xfId="56" applyFont="1" applyFill="1" applyBorder="1" applyAlignment="1" applyProtection="1">
      <alignment horizontal="center" vertical="center" wrapText="1"/>
      <protection locked="0"/>
    </xf>
    <xf numFmtId="0" fontId="20" fillId="26" borderId="88" xfId="56" applyFont="1" applyFill="1" applyBorder="1" applyAlignment="1">
      <alignment horizontal="center" vertical="center" wrapText="1"/>
      <protection/>
    </xf>
    <xf numFmtId="0" fontId="20" fillId="26" borderId="89" xfId="56" applyFont="1" applyFill="1" applyBorder="1" applyAlignment="1">
      <alignment horizontal="center" vertical="center" wrapText="1"/>
      <protection/>
    </xf>
    <xf numFmtId="0" fontId="20" fillId="26" borderId="90" xfId="56" applyFont="1" applyFill="1" applyBorder="1" applyAlignment="1">
      <alignment horizontal="center" vertical="center" wrapText="1"/>
      <protection/>
    </xf>
    <xf numFmtId="0" fontId="20" fillId="4" borderId="91" xfId="56" applyFont="1" applyFill="1" applyBorder="1" applyAlignment="1">
      <alignment horizontal="center" vertical="center" wrapText="1"/>
      <protection/>
    </xf>
    <xf numFmtId="0" fontId="20" fillId="4" borderId="90" xfId="56" applyFont="1" applyFill="1" applyBorder="1" applyAlignment="1">
      <alignment horizontal="center" vertical="center" wrapText="1"/>
      <protection/>
    </xf>
    <xf numFmtId="0" fontId="20" fillId="26" borderId="91" xfId="56" applyFont="1" applyFill="1" applyBorder="1" applyAlignment="1">
      <alignment horizontal="center" vertical="center" wrapText="1"/>
      <protection/>
    </xf>
    <xf numFmtId="0" fontId="30" fillId="0" borderId="92" xfId="56" applyFont="1" applyBorder="1" applyAlignment="1" applyProtection="1">
      <alignment horizontal="center" vertical="center" wrapText="1"/>
      <protection locked="0"/>
    </xf>
    <xf numFmtId="0" fontId="30" fillId="0" borderId="93" xfId="56" applyFont="1" applyBorder="1" applyAlignment="1" applyProtection="1">
      <alignment horizontal="center" vertical="center" wrapText="1"/>
      <protection locked="0"/>
    </xf>
    <xf numFmtId="20" fontId="20" fillId="4" borderId="92" xfId="56" applyNumberFormat="1" applyFont="1" applyFill="1" applyBorder="1" applyAlignment="1">
      <alignment horizontal="center" vertical="center" wrapText="1"/>
      <protection/>
    </xf>
    <xf numFmtId="20" fontId="20" fillId="4" borderId="94" xfId="56" applyNumberFormat="1" applyFont="1" applyFill="1" applyBorder="1" applyAlignment="1">
      <alignment horizontal="center" vertical="center" wrapText="1"/>
      <protection/>
    </xf>
    <xf numFmtId="0" fontId="24" fillId="0" borderId="92" xfId="56" applyFont="1" applyBorder="1" applyAlignment="1" applyProtection="1">
      <alignment horizontal="center" vertical="center" wrapText="1"/>
      <protection locked="0"/>
    </xf>
    <xf numFmtId="0" fontId="24" fillId="0" borderId="93" xfId="56" applyFont="1" applyBorder="1" applyAlignment="1" applyProtection="1">
      <alignment horizontal="center" vertical="center" wrapText="1"/>
      <protection locked="0"/>
    </xf>
    <xf numFmtId="0" fontId="20" fillId="25" borderId="10" xfId="56" applyFont="1" applyFill="1" applyBorder="1" applyAlignment="1">
      <alignment horizontal="center" vertical="center"/>
      <protection/>
    </xf>
    <xf numFmtId="0" fontId="20" fillId="25" borderId="82" xfId="56" applyFont="1" applyFill="1" applyBorder="1" applyAlignment="1">
      <alignment horizontal="center" vertical="center"/>
      <protection/>
    </xf>
    <xf numFmtId="0" fontId="20" fillId="25" borderId="83" xfId="56" applyFont="1" applyFill="1" applyBorder="1" applyAlignment="1">
      <alignment horizontal="center" vertical="center"/>
      <protection/>
    </xf>
    <xf numFmtId="0" fontId="35" fillId="0" borderId="87" xfId="56" applyFont="1" applyFill="1" applyBorder="1" applyAlignment="1">
      <alignment horizontal="center" vertical="center" wrapText="1"/>
      <protection/>
    </xf>
    <xf numFmtId="0" fontId="35" fillId="0" borderId="82" xfId="56" applyFont="1" applyFill="1" applyBorder="1" applyAlignment="1">
      <alignment horizontal="center" vertical="center" wrapText="1"/>
      <protection/>
    </xf>
    <xf numFmtId="0" fontId="35" fillId="0" borderId="83" xfId="56" applyFont="1" applyFill="1" applyBorder="1" applyAlignment="1">
      <alignment horizontal="center" vertical="center" wrapText="1"/>
      <protection/>
    </xf>
    <xf numFmtId="0" fontId="30" fillId="0" borderId="95" xfId="56" applyFont="1" applyBorder="1" applyAlignment="1" applyProtection="1">
      <alignment horizontal="center" vertical="center" wrapText="1"/>
      <protection locked="0"/>
    </xf>
    <xf numFmtId="0" fontId="30" fillId="0" borderId="94" xfId="56" applyFont="1" applyBorder="1" applyAlignment="1" applyProtection="1">
      <alignment horizontal="center" vertical="center" wrapText="1"/>
      <protection locked="0"/>
    </xf>
    <xf numFmtId="0" fontId="30" fillId="0" borderId="96" xfId="56" applyFont="1" applyBorder="1" applyAlignment="1" applyProtection="1">
      <alignment horizontal="center" vertical="center" wrapText="1"/>
      <protection locked="0"/>
    </xf>
    <xf numFmtId="0" fontId="24" fillId="0" borderId="95" xfId="56" applyFont="1" applyBorder="1" applyAlignment="1" applyProtection="1">
      <alignment horizontal="center" vertical="center" wrapText="1"/>
      <protection locked="0"/>
    </xf>
    <xf numFmtId="0" fontId="24" fillId="0" borderId="64" xfId="56" applyFont="1" applyBorder="1" applyAlignment="1" applyProtection="1">
      <alignment horizontal="center" vertical="center" wrapText="1"/>
      <protection locked="0"/>
    </xf>
    <xf numFmtId="0" fontId="24" fillId="0" borderId="61" xfId="56" applyFont="1" applyBorder="1" applyAlignment="1" applyProtection="1">
      <alignment horizontal="center" vertical="center" wrapText="1"/>
      <protection locked="0"/>
    </xf>
    <xf numFmtId="0" fontId="24" fillId="24" borderId="97" xfId="56" applyFont="1" applyFill="1" applyBorder="1" applyAlignment="1" applyProtection="1">
      <alignment horizontal="center" vertical="center" wrapText="1"/>
      <protection locked="0"/>
    </xf>
    <xf numFmtId="20" fontId="20" fillId="4" borderId="98" xfId="56" applyNumberFormat="1" applyFont="1" applyFill="1" applyBorder="1" applyAlignment="1">
      <alignment horizontal="center" vertical="center" wrapText="1"/>
      <protection/>
    </xf>
    <xf numFmtId="20" fontId="20" fillId="4" borderId="99" xfId="56" applyNumberFormat="1" applyFont="1" applyFill="1" applyBorder="1" applyAlignment="1">
      <alignment horizontal="center" vertical="center" wrapText="1"/>
      <protection/>
    </xf>
    <xf numFmtId="0" fontId="24" fillId="0" borderId="98" xfId="56" applyFont="1" applyBorder="1" applyAlignment="1" applyProtection="1">
      <alignment horizontal="center" vertical="center" wrapText="1"/>
      <protection locked="0"/>
    </xf>
    <xf numFmtId="20" fontId="20" fillId="4" borderId="100" xfId="56" applyNumberFormat="1" applyFont="1" applyFill="1" applyBorder="1" applyAlignment="1">
      <alignment horizontal="center" vertical="center" wrapText="1"/>
      <protection/>
    </xf>
    <xf numFmtId="20" fontId="20" fillId="4" borderId="101" xfId="56" applyNumberFormat="1" applyFont="1" applyFill="1" applyBorder="1" applyAlignment="1">
      <alignment horizontal="center" vertical="center" wrapText="1"/>
      <protection/>
    </xf>
    <xf numFmtId="0" fontId="24" fillId="0" borderId="73" xfId="56" applyFont="1" applyBorder="1" applyAlignment="1" applyProtection="1">
      <alignment horizontal="center" vertical="center" wrapText="1"/>
      <protection locked="0"/>
    </xf>
    <xf numFmtId="0" fontId="24" fillId="0" borderId="74" xfId="56" applyFont="1" applyBorder="1" applyAlignment="1" applyProtection="1">
      <alignment horizontal="center" vertical="center" wrapText="1"/>
      <protection locked="0"/>
    </xf>
    <xf numFmtId="0" fontId="24" fillId="0" borderId="46" xfId="56" applyFont="1" applyBorder="1" applyAlignment="1" applyProtection="1">
      <alignment horizontal="center" vertical="center" wrapText="1"/>
      <protection locked="0"/>
    </xf>
    <xf numFmtId="0" fontId="24" fillId="0" borderId="94" xfId="56" applyFont="1" applyBorder="1" applyAlignment="1" applyProtection="1">
      <alignment horizontal="center" vertical="center" wrapText="1"/>
      <protection locked="0"/>
    </xf>
    <xf numFmtId="0" fontId="24" fillId="24" borderId="101" xfId="56" applyFont="1" applyFill="1" applyBorder="1" applyAlignment="1" applyProtection="1">
      <alignment horizontal="center" vertical="center" wrapText="1"/>
      <protection locked="0"/>
    </xf>
    <xf numFmtId="0" fontId="24" fillId="0" borderId="72" xfId="56" applyFont="1" applyBorder="1" applyAlignment="1" applyProtection="1">
      <alignment horizontal="center" vertical="center" wrapText="1"/>
      <protection locked="0"/>
    </xf>
    <xf numFmtId="0" fontId="29" fillId="25" borderId="23" xfId="56" applyFont="1" applyFill="1" applyBorder="1" applyAlignment="1">
      <alignment horizontal="center" vertical="center" wrapText="1"/>
      <protection/>
    </xf>
    <xf numFmtId="0" fontId="27" fillId="25" borderId="25" xfId="0" applyFont="1" applyFill="1" applyBorder="1" applyAlignment="1">
      <alignment horizontal="center" vertical="center" wrapText="1"/>
    </xf>
    <xf numFmtId="0" fontId="27" fillId="25" borderId="27" xfId="0" applyFont="1" applyFill="1" applyBorder="1" applyAlignment="1">
      <alignment horizontal="center" vertical="center" wrapText="1"/>
    </xf>
    <xf numFmtId="0" fontId="23" fillId="26" borderId="21" xfId="56" applyFont="1" applyFill="1" applyBorder="1" applyAlignment="1">
      <alignment horizontal="left" vertical="center" wrapText="1"/>
      <protection/>
    </xf>
    <xf numFmtId="0" fontId="0" fillId="26" borderId="21" xfId="0" applyFill="1" applyBorder="1" applyAlignment="1">
      <alignment horizontal="left" vertical="center" wrapText="1"/>
    </xf>
    <xf numFmtId="0" fontId="0" fillId="26" borderId="24" xfId="0" applyFill="1" applyBorder="1" applyAlignment="1">
      <alignment horizontal="left" vertical="center" wrapText="1"/>
    </xf>
    <xf numFmtId="0" fontId="23" fillId="26" borderId="0" xfId="56" applyFont="1" applyFill="1" applyBorder="1" applyAlignment="1">
      <alignment horizontal="left" vertical="center" wrapText="1"/>
      <protection/>
    </xf>
    <xf numFmtId="0" fontId="0" fillId="26" borderId="0" xfId="0" applyFill="1" applyBorder="1" applyAlignment="1">
      <alignment horizontal="left" vertical="center" wrapText="1"/>
    </xf>
    <xf numFmtId="0" fontId="0" fillId="26" borderId="26" xfId="0" applyFill="1" applyBorder="1" applyAlignment="1">
      <alignment horizontal="left" vertical="center" wrapText="1"/>
    </xf>
    <xf numFmtId="0" fontId="23" fillId="26" borderId="22" xfId="56" applyFont="1" applyFill="1" applyBorder="1" applyAlignment="1">
      <alignment horizontal="left" vertical="center" wrapText="1"/>
      <protection/>
    </xf>
    <xf numFmtId="0" fontId="0" fillId="26" borderId="22" xfId="0" applyFill="1" applyBorder="1" applyAlignment="1">
      <alignment horizontal="left" vertical="center" wrapText="1"/>
    </xf>
    <xf numFmtId="0" fontId="0" fillId="26" borderId="28" xfId="0" applyFill="1" applyBorder="1" applyAlignment="1">
      <alignment horizontal="left" vertical="center" wrapText="1"/>
    </xf>
    <xf numFmtId="0" fontId="29" fillId="11" borderId="23" xfId="56" applyFont="1" applyFill="1" applyBorder="1" applyAlignment="1">
      <alignment horizontal="center" vertical="center" wrapText="1"/>
      <protection/>
    </xf>
    <xf numFmtId="0" fontId="27" fillId="0" borderId="25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3" fillId="7" borderId="21" xfId="56" applyFont="1" applyFill="1" applyBorder="1" applyAlignment="1">
      <alignment horizontal="left" vertical="center" wrapText="1"/>
      <protection/>
    </xf>
    <xf numFmtId="0" fontId="0" fillId="7" borderId="21" xfId="0" applyFill="1" applyBorder="1" applyAlignment="1">
      <alignment horizontal="left" vertical="center" wrapText="1"/>
    </xf>
    <xf numFmtId="0" fontId="0" fillId="7" borderId="24" xfId="0" applyFill="1" applyBorder="1" applyAlignment="1">
      <alignment horizontal="left" vertical="center" wrapText="1"/>
    </xf>
    <xf numFmtId="0" fontId="23" fillId="7" borderId="0" xfId="56" applyFont="1" applyFill="1" applyBorder="1" applyAlignment="1">
      <alignment horizontal="left" vertical="center" wrapText="1"/>
      <protection/>
    </xf>
    <xf numFmtId="0" fontId="0" fillId="7" borderId="0" xfId="0" applyFill="1" applyBorder="1" applyAlignment="1">
      <alignment horizontal="left" vertical="center" wrapText="1"/>
    </xf>
    <xf numFmtId="0" fontId="0" fillId="7" borderId="26" xfId="0" applyFill="1" applyBorder="1" applyAlignment="1">
      <alignment horizontal="left" vertical="center" wrapText="1"/>
    </xf>
    <xf numFmtId="0" fontId="23" fillId="7" borderId="22" xfId="56" applyFont="1" applyFill="1" applyBorder="1" applyAlignment="1">
      <alignment horizontal="left" vertical="center" wrapText="1"/>
      <protection/>
    </xf>
    <xf numFmtId="0" fontId="0" fillId="7" borderId="22" xfId="0" applyFill="1" applyBorder="1" applyAlignment="1">
      <alignment horizontal="left" vertical="center" wrapText="1"/>
    </xf>
    <xf numFmtId="0" fontId="0" fillId="7" borderId="28" xfId="0" applyFill="1" applyBorder="1" applyAlignment="1">
      <alignment horizontal="left" vertical="center" wrapText="1"/>
    </xf>
    <xf numFmtId="0" fontId="2" fillId="25" borderId="0" xfId="0" applyFont="1" applyFill="1" applyAlignment="1">
      <alignment horizontal="center" vertical="center" wrapText="1"/>
    </xf>
    <xf numFmtId="0" fontId="1" fillId="22" borderId="27" xfId="56" applyFont="1" applyFill="1" applyBorder="1" applyAlignment="1" applyProtection="1">
      <alignment horizontal="center" vertical="center" wrapText="1"/>
      <protection locked="0"/>
    </xf>
    <xf numFmtId="0" fontId="0" fillId="22" borderId="22" xfId="0" applyFill="1" applyBorder="1" applyAlignment="1">
      <alignment horizontal="center" vertical="center" wrapText="1"/>
    </xf>
    <xf numFmtId="0" fontId="0" fillId="22" borderId="28" xfId="0" applyFill="1" applyBorder="1" applyAlignment="1">
      <alignment horizontal="center" vertical="center" wrapText="1"/>
    </xf>
    <xf numFmtId="0" fontId="1" fillId="22" borderId="0" xfId="56" applyFont="1" applyFill="1" applyBorder="1" applyAlignment="1" applyProtection="1">
      <alignment vertical="center" wrapText="1"/>
      <protection locked="0"/>
    </xf>
    <xf numFmtId="0" fontId="0" fillId="22" borderId="0" xfId="0" applyFill="1" applyAlignment="1">
      <alignment vertical="center" wrapText="1"/>
    </xf>
    <xf numFmtId="0" fontId="0" fillId="22" borderId="26" xfId="0" applyFill="1" applyBorder="1" applyAlignment="1">
      <alignment vertical="center" wrapText="1"/>
    </xf>
    <xf numFmtId="0" fontId="24" fillId="0" borderId="71" xfId="56" applyFont="1" applyBorder="1" applyAlignment="1" applyProtection="1">
      <alignment horizontal="center" vertical="center" wrapText="1"/>
      <protection locked="0"/>
    </xf>
    <xf numFmtId="0" fontId="2" fillId="11" borderId="0" xfId="0" applyFont="1" applyFill="1" applyAlignment="1">
      <alignment horizontal="center" vertical="center" wrapText="1"/>
    </xf>
    <xf numFmtId="0" fontId="28" fillId="8" borderId="0" xfId="0" applyFont="1" applyFill="1" applyAlignment="1">
      <alignment horizontal="center" wrapText="1"/>
    </xf>
    <xf numFmtId="0" fontId="28" fillId="0" borderId="0" xfId="0" applyFont="1" applyAlignment="1">
      <alignment wrapText="1"/>
    </xf>
    <xf numFmtId="0" fontId="40" fillId="24" borderId="0" xfId="0" applyFont="1" applyFill="1" applyAlignment="1">
      <alignment wrapText="1"/>
    </xf>
    <xf numFmtId="0" fontId="0" fillId="24" borderId="0" xfId="0" applyFill="1" applyAlignment="1">
      <alignment wrapText="1"/>
    </xf>
    <xf numFmtId="0" fontId="39" fillId="8" borderId="102" xfId="0" applyFont="1" applyFill="1" applyBorder="1" applyAlignment="1">
      <alignment horizontal="center" vertical="center" wrapText="1"/>
    </xf>
    <xf numFmtId="0" fontId="39" fillId="8" borderId="103" xfId="0" applyFont="1" applyFill="1" applyBorder="1" applyAlignment="1">
      <alignment horizontal="center" vertical="center" wrapText="1"/>
    </xf>
    <xf numFmtId="0" fontId="39" fillId="8" borderId="104" xfId="0" applyFont="1" applyFill="1" applyBorder="1" applyAlignment="1">
      <alignment horizontal="center" vertical="center" wrapText="1"/>
    </xf>
    <xf numFmtId="20" fontId="39" fillId="27" borderId="105" xfId="0" applyNumberFormat="1" applyFont="1" applyFill="1" applyBorder="1" applyAlignment="1">
      <alignment horizontal="center" vertical="center" wrapText="1"/>
    </xf>
    <xf numFmtId="0" fontId="39" fillId="27" borderId="106" xfId="0" applyFont="1" applyFill="1" applyBorder="1" applyAlignment="1">
      <alignment horizontal="center" vertical="center" wrapText="1"/>
    </xf>
    <xf numFmtId="0" fontId="39" fillId="0" borderId="102" xfId="0" applyFont="1" applyBorder="1" applyAlignment="1" quotePrefix="1">
      <alignment horizontal="center" vertical="center" wrapText="1"/>
    </xf>
    <xf numFmtId="0" fontId="39" fillId="0" borderId="107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vertical="center" wrapText="1"/>
    </xf>
    <xf numFmtId="0" fontId="39" fillId="0" borderId="108" xfId="0" applyFont="1" applyFill="1" applyBorder="1" applyAlignment="1">
      <alignment horizontal="center" vertical="center" wrapText="1"/>
    </xf>
    <xf numFmtId="0" fontId="39" fillId="0" borderId="109" xfId="0" applyFont="1" applyFill="1" applyBorder="1" applyAlignment="1">
      <alignment horizontal="center" vertical="center" wrapText="1"/>
    </xf>
    <xf numFmtId="0" fontId="39" fillId="8" borderId="12" xfId="0" applyFont="1" applyFill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110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08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39" fillId="0" borderId="84" xfId="0" applyFont="1" applyBorder="1" applyAlignment="1" quotePrefix="1">
      <alignment horizontal="center" vertical="center" wrapText="1"/>
    </xf>
    <xf numFmtId="0" fontId="39" fillId="0" borderId="111" xfId="0" applyFont="1" applyBorder="1" applyAlignment="1">
      <alignment horizontal="center" vertical="center" wrapText="1"/>
    </xf>
    <xf numFmtId="0" fontId="39" fillId="0" borderId="112" xfId="0" applyFont="1" applyBorder="1" applyAlignment="1" quotePrefix="1">
      <alignment horizontal="center" vertical="center" wrapText="1"/>
    </xf>
    <xf numFmtId="0" fontId="39" fillId="0" borderId="113" xfId="0" applyFont="1" applyBorder="1" applyAlignment="1">
      <alignment horizontal="center" vertical="center" wrapText="1"/>
    </xf>
    <xf numFmtId="0" fontId="39" fillId="8" borderId="114" xfId="0" applyFont="1" applyFill="1" applyBorder="1" applyAlignment="1">
      <alignment horizontal="center" vertical="center" wrapText="1"/>
    </xf>
    <xf numFmtId="0" fontId="39" fillId="8" borderId="82" xfId="0" applyFont="1" applyFill="1" applyBorder="1" applyAlignment="1">
      <alignment horizontal="center" vertical="center" wrapText="1"/>
    </xf>
    <xf numFmtId="0" fontId="39" fillId="8" borderId="83" xfId="0" applyFont="1" applyFill="1" applyBorder="1" applyAlignment="1">
      <alignment horizontal="center" vertical="center" wrapText="1"/>
    </xf>
    <xf numFmtId="20" fontId="39" fillId="27" borderId="73" xfId="0" applyNumberFormat="1" applyFont="1" applyFill="1" applyBorder="1" applyAlignment="1">
      <alignment horizontal="center" vertical="center" wrapText="1"/>
    </xf>
    <xf numFmtId="0" fontId="39" fillId="27" borderId="75" xfId="0" applyFont="1" applyFill="1" applyBorder="1" applyAlignment="1">
      <alignment horizontal="center" vertical="center" wrapText="1"/>
    </xf>
    <xf numFmtId="0" fontId="39" fillId="0" borderId="115" xfId="0" applyFont="1" applyBorder="1" applyAlignment="1" quotePrefix="1">
      <alignment horizontal="center" vertical="center" wrapText="1"/>
    </xf>
    <xf numFmtId="0" fontId="39" fillId="0" borderId="112" xfId="0" applyFont="1" applyBorder="1" applyAlignment="1">
      <alignment horizontal="center" vertical="center" wrapText="1"/>
    </xf>
    <xf numFmtId="0" fontId="39" fillId="0" borderId="87" xfId="0" applyFont="1" applyBorder="1" applyAlignment="1" quotePrefix="1">
      <alignment horizontal="center" vertical="center" wrapText="1"/>
    </xf>
    <xf numFmtId="0" fontId="39" fillId="0" borderId="82" xfId="0" applyFont="1" applyBorder="1" applyAlignment="1">
      <alignment horizontal="center" vertical="center" wrapText="1"/>
    </xf>
    <xf numFmtId="0" fontId="39" fillId="8" borderId="116" xfId="0" applyFont="1" applyFill="1" applyBorder="1" applyAlignment="1">
      <alignment horizontal="center" vertical="center" wrapText="1"/>
    </xf>
    <xf numFmtId="0" fontId="39" fillId="8" borderId="22" xfId="0" applyFont="1" applyFill="1" applyBorder="1" applyAlignment="1">
      <alignment horizontal="center" vertical="center" wrapText="1"/>
    </xf>
    <xf numFmtId="0" fontId="39" fillId="8" borderId="28" xfId="0" applyFont="1" applyFill="1" applyBorder="1" applyAlignment="1">
      <alignment horizontal="center" vertical="center" wrapText="1"/>
    </xf>
    <xf numFmtId="20" fontId="39" fillId="27" borderId="68" xfId="0" applyNumberFormat="1" applyFont="1" applyFill="1" applyBorder="1" applyAlignment="1">
      <alignment horizontal="center" vertical="center" wrapText="1"/>
    </xf>
    <xf numFmtId="0" fontId="39" fillId="27" borderId="70" xfId="0" applyFont="1" applyFill="1" applyBorder="1" applyAlignment="1">
      <alignment horizontal="center" vertical="center" wrapText="1"/>
    </xf>
    <xf numFmtId="0" fontId="39" fillId="0" borderId="85" xfId="0" applyFont="1" applyBorder="1" applyAlignment="1" quotePrefix="1">
      <alignment horizontal="center" vertical="center" wrapText="1"/>
    </xf>
    <xf numFmtId="0" fontId="39" fillId="0" borderId="86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10" xfId="0" applyFont="1" applyFill="1" applyBorder="1" applyAlignment="1">
      <alignment horizontal="center" vertical="center" wrapText="1"/>
    </xf>
    <xf numFmtId="0" fontId="39" fillId="0" borderId="20" xfId="0" applyFont="1" applyFill="1" applyBorder="1" applyAlignment="1">
      <alignment horizontal="center" vertical="center" wrapText="1"/>
    </xf>
    <xf numFmtId="0" fontId="39" fillId="8" borderId="32" xfId="0" applyFont="1" applyFill="1" applyBorder="1" applyAlignment="1">
      <alignment horizontal="center" vertical="center" wrapText="1"/>
    </xf>
    <xf numFmtId="0" fontId="39" fillId="8" borderId="117" xfId="0" applyFont="1" applyFill="1" applyBorder="1" applyAlignment="1">
      <alignment horizontal="center" vertical="center" wrapText="1"/>
    </xf>
    <xf numFmtId="0" fontId="39" fillId="8" borderId="118" xfId="0" applyFont="1" applyFill="1" applyBorder="1" applyAlignment="1">
      <alignment horizontal="center" vertical="center"/>
    </xf>
    <xf numFmtId="0" fontId="39" fillId="8" borderId="35" xfId="0" applyFont="1" applyFill="1" applyBorder="1" applyAlignment="1">
      <alignment horizontal="center" vertical="center"/>
    </xf>
    <xf numFmtId="0" fontId="39" fillId="8" borderId="36" xfId="0" applyFont="1" applyFill="1" applyBorder="1" applyAlignment="1">
      <alignment horizontal="center" vertical="center"/>
    </xf>
    <xf numFmtId="0" fontId="39" fillId="27" borderId="100" xfId="0" applyFont="1" applyFill="1" applyBorder="1" applyAlignment="1">
      <alignment horizontal="center" vertical="center"/>
    </xf>
    <xf numFmtId="0" fontId="39" fillId="27" borderId="97" xfId="0" applyFont="1" applyFill="1" applyBorder="1" applyAlignment="1">
      <alignment horizontal="center" vertical="center"/>
    </xf>
    <xf numFmtId="0" fontId="39" fillId="27" borderId="119" xfId="0" applyFont="1" applyFill="1" applyBorder="1" applyAlignment="1">
      <alignment horizontal="center" vertical="center"/>
    </xf>
    <xf numFmtId="0" fontId="39" fillId="27" borderId="120" xfId="0" applyFont="1" applyFill="1" applyBorder="1" applyAlignment="1">
      <alignment horizontal="center" vertical="center"/>
    </xf>
    <xf numFmtId="0" fontId="39" fillId="27" borderId="121" xfId="0" applyFont="1" applyFill="1" applyBorder="1" applyAlignment="1">
      <alignment horizontal="center" vertical="center"/>
    </xf>
    <xf numFmtId="0" fontId="39" fillId="0" borderId="122" xfId="0" applyFont="1" applyBorder="1" applyAlignment="1" quotePrefix="1">
      <alignment horizontal="center" vertical="center" wrapText="1"/>
    </xf>
    <xf numFmtId="0" fontId="39" fillId="0" borderId="123" xfId="0" applyFont="1" applyBorder="1" applyAlignment="1">
      <alignment horizontal="center" vertical="center" wrapText="1"/>
    </xf>
    <xf numFmtId="0" fontId="39" fillId="0" borderId="35" xfId="0" applyFont="1" applyBorder="1" applyAlignment="1" quotePrefix="1">
      <alignment horizontal="center" vertical="center" wrapText="1"/>
    </xf>
    <xf numFmtId="0" fontId="39" fillId="0" borderId="36" xfId="0" applyFont="1" applyBorder="1" applyAlignment="1">
      <alignment horizontal="center" vertical="center" wrapText="1"/>
    </xf>
    <xf numFmtId="20" fontId="39" fillId="27" borderId="124" xfId="0" applyNumberFormat="1" applyFont="1" applyFill="1" applyBorder="1" applyAlignment="1">
      <alignment horizontal="center" vertical="center" wrapText="1"/>
    </xf>
    <xf numFmtId="0" fontId="39" fillId="27" borderId="125" xfId="0" applyFont="1" applyFill="1" applyBorder="1" applyAlignment="1">
      <alignment horizontal="center" vertical="center" wrapText="1"/>
    </xf>
    <xf numFmtId="0" fontId="39" fillId="0" borderId="126" xfId="0" applyFont="1" applyBorder="1" applyAlignment="1" quotePrefix="1">
      <alignment horizontal="center" vertical="center" wrapText="1"/>
    </xf>
    <xf numFmtId="0" fontId="39" fillId="0" borderId="41" xfId="0" applyFont="1" applyBorder="1" applyAlignment="1">
      <alignment horizontal="center" vertical="center" wrapText="1"/>
    </xf>
    <xf numFmtId="0" fontId="39" fillId="0" borderId="127" xfId="0" applyFont="1" applyBorder="1" applyAlignment="1" quotePrefix="1">
      <alignment horizontal="center" vertical="center" wrapText="1"/>
    </xf>
    <xf numFmtId="0" fontId="39" fillId="0" borderId="124" xfId="0" applyFont="1" applyBorder="1" applyAlignment="1">
      <alignment horizontal="center" vertical="center" wrapText="1"/>
    </xf>
    <xf numFmtId="0" fontId="39" fillId="0" borderId="41" xfId="0" applyFont="1" applyBorder="1" applyAlignment="1" quotePrefix="1">
      <alignment horizontal="center" vertical="center" wrapText="1"/>
    </xf>
    <xf numFmtId="0" fontId="39" fillId="0" borderId="44" xfId="0" applyFont="1" applyBorder="1" applyAlignment="1">
      <alignment horizontal="center" vertical="center" wrapText="1"/>
    </xf>
    <xf numFmtId="20" fontId="39" fillId="27" borderId="123" xfId="0" applyNumberFormat="1" applyFont="1" applyFill="1" applyBorder="1" applyAlignment="1">
      <alignment horizontal="center" vertical="center" wrapText="1"/>
    </xf>
    <xf numFmtId="0" fontId="39" fillId="27" borderId="128" xfId="0" applyFont="1" applyFill="1" applyBorder="1" applyAlignment="1">
      <alignment horizontal="center" vertical="center" wrapText="1"/>
    </xf>
    <xf numFmtId="0" fontId="39" fillId="0" borderId="118" xfId="0" applyFont="1" applyBorder="1" applyAlignment="1" quotePrefix="1">
      <alignment horizontal="center" vertical="center" wrapText="1"/>
    </xf>
    <xf numFmtId="0" fontId="39" fillId="0" borderId="35" xfId="0" applyFont="1" applyBorder="1" applyAlignment="1">
      <alignment horizontal="center" vertical="center" wrapText="1"/>
    </xf>
    <xf numFmtId="0" fontId="39" fillId="0" borderId="95" xfId="0" applyNumberFormat="1" applyFont="1" applyBorder="1" applyAlignment="1" quotePrefix="1">
      <alignment horizontal="center" vertical="center" wrapText="1"/>
    </xf>
    <xf numFmtId="0" fontId="39" fillId="0" borderId="93" xfId="0" applyNumberFormat="1" applyFont="1" applyBorder="1" applyAlignment="1">
      <alignment horizontal="center" vertical="center" wrapText="1"/>
    </xf>
    <xf numFmtId="0" fontId="39" fillId="0" borderId="46" xfId="0" applyNumberFormat="1" applyFont="1" applyBorder="1" applyAlignment="1" quotePrefix="1">
      <alignment horizontal="center" vertical="center" wrapText="1"/>
    </xf>
    <xf numFmtId="0" fontId="39" fillId="0" borderId="47" xfId="0" applyNumberFormat="1" applyFont="1" applyBorder="1" applyAlignment="1">
      <alignment horizontal="center" vertical="center" wrapText="1"/>
    </xf>
    <xf numFmtId="0" fontId="39" fillId="0" borderId="126" xfId="0" applyNumberFormat="1" applyFont="1" applyBorder="1" applyAlignment="1" quotePrefix="1">
      <alignment horizontal="center" vertical="center" wrapText="1"/>
    </xf>
    <xf numFmtId="0" fontId="39" fillId="0" borderId="41" xfId="0" applyNumberFormat="1" applyFont="1" applyBorder="1" applyAlignment="1">
      <alignment horizontal="center" vertical="center" wrapText="1"/>
    </xf>
    <xf numFmtId="0" fontId="39" fillId="0" borderId="127" xfId="0" applyNumberFormat="1" applyFont="1" applyBorder="1" applyAlignment="1" quotePrefix="1">
      <alignment horizontal="center" vertical="center" wrapText="1"/>
    </xf>
    <xf numFmtId="0" fontId="39" fillId="0" borderId="124" xfId="0" applyNumberFormat="1" applyFont="1" applyBorder="1" applyAlignment="1">
      <alignment horizontal="center" vertical="center" wrapText="1"/>
    </xf>
    <xf numFmtId="0" fontId="39" fillId="0" borderId="41" xfId="0" applyNumberFormat="1" applyFont="1" applyBorder="1" applyAlignment="1" quotePrefix="1">
      <alignment horizontal="center" vertical="center" wrapText="1"/>
    </xf>
    <xf numFmtId="0" fontId="39" fillId="0" borderId="44" xfId="0" applyNumberFormat="1" applyFont="1" applyBorder="1" applyAlignment="1">
      <alignment horizontal="center" vertical="center" wrapText="1"/>
    </xf>
    <xf numFmtId="20" fontId="39" fillId="27" borderId="93" xfId="0" applyNumberFormat="1" applyFont="1" applyFill="1" applyBorder="1" applyAlignment="1">
      <alignment horizontal="center" vertical="center" wrapText="1"/>
    </xf>
    <xf numFmtId="0" fontId="39" fillId="27" borderId="72" xfId="0" applyFont="1" applyFill="1" applyBorder="1" applyAlignment="1">
      <alignment horizontal="center" vertical="center" wrapText="1"/>
    </xf>
    <xf numFmtId="0" fontId="39" fillId="0" borderId="71" xfId="0" applyNumberFormat="1" applyFont="1" applyBorder="1" applyAlignment="1" quotePrefix="1">
      <alignment horizontal="center" vertical="center" wrapText="1"/>
    </xf>
    <xf numFmtId="0" fontId="39" fillId="0" borderId="46" xfId="0" applyNumberFormat="1" applyFont="1" applyBorder="1" applyAlignment="1">
      <alignment horizontal="center" vertical="center" wrapText="1"/>
    </xf>
    <xf numFmtId="17" fontId="39" fillId="0" borderId="71" xfId="0" applyNumberFormat="1" applyFont="1" applyBorder="1" applyAlignment="1" quotePrefix="1">
      <alignment horizontal="center" vertical="center" wrapText="1"/>
    </xf>
    <xf numFmtId="17" fontId="39" fillId="0" borderId="95" xfId="0" applyNumberFormat="1" applyFont="1" applyBorder="1" applyAlignment="1" quotePrefix="1">
      <alignment horizontal="center" vertical="center" wrapText="1"/>
    </xf>
    <xf numFmtId="0" fontId="39" fillId="8" borderId="23" xfId="0" applyFont="1" applyFill="1" applyBorder="1" applyAlignment="1">
      <alignment horizontal="center" vertical="center" wrapText="1"/>
    </xf>
    <xf numFmtId="0" fontId="39" fillId="8" borderId="24" xfId="0" applyFont="1" applyFill="1" applyBorder="1" applyAlignment="1">
      <alignment horizontal="center" vertical="center" wrapText="1"/>
    </xf>
    <xf numFmtId="0" fontId="39" fillId="8" borderId="25" xfId="0" applyFont="1" applyFill="1" applyBorder="1" applyAlignment="1">
      <alignment horizontal="center" vertical="center" wrapText="1"/>
    </xf>
    <xf numFmtId="0" fontId="39" fillId="8" borderId="26" xfId="0" applyFont="1" applyFill="1" applyBorder="1" applyAlignment="1">
      <alignment horizontal="center" vertical="center" wrapText="1"/>
    </xf>
    <xf numFmtId="0" fontId="39" fillId="8" borderId="68" xfId="0" applyFont="1" applyFill="1" applyBorder="1" applyAlignment="1">
      <alignment horizontal="center" vertical="center"/>
    </xf>
    <xf numFmtId="0" fontId="39" fillId="8" borderId="69" xfId="0" applyFont="1" applyFill="1" applyBorder="1" applyAlignment="1">
      <alignment horizontal="center" vertical="center"/>
    </xf>
    <xf numFmtId="0" fontId="39" fillId="8" borderId="70" xfId="0" applyFont="1" applyFill="1" applyBorder="1" applyAlignment="1">
      <alignment horizontal="center" vertical="center"/>
    </xf>
    <xf numFmtId="0" fontId="39" fillId="27" borderId="129" xfId="0" applyFont="1" applyFill="1" applyBorder="1" applyAlignment="1">
      <alignment horizontal="center" vertical="center"/>
    </xf>
    <xf numFmtId="0" fontId="39" fillId="27" borderId="130" xfId="0" applyFont="1" applyFill="1" applyBorder="1" applyAlignment="1">
      <alignment horizontal="center" vertical="center"/>
    </xf>
    <xf numFmtId="0" fontId="39" fillId="27" borderId="64" xfId="0" applyFont="1" applyFill="1" applyBorder="1" applyAlignment="1">
      <alignment horizontal="center" vertical="center"/>
    </xf>
    <xf numFmtId="0" fontId="39" fillId="27" borderId="61" xfId="0" applyFont="1" applyFill="1" applyBorder="1" applyAlignment="1">
      <alignment horizontal="center" vertical="center"/>
    </xf>
    <xf numFmtId="0" fontId="39" fillId="27" borderId="131" xfId="0" applyFont="1" applyFill="1" applyBorder="1" applyAlignment="1">
      <alignment horizontal="center" vertical="center"/>
    </xf>
    <xf numFmtId="0" fontId="48" fillId="11" borderId="132" xfId="0" applyFont="1" applyFill="1" applyBorder="1" applyAlignment="1" applyProtection="1">
      <alignment horizontal="center" vertical="center" wrapText="1"/>
      <protection/>
    </xf>
    <xf numFmtId="0" fontId="48" fillId="11" borderId="133" xfId="0" applyFont="1" applyFill="1" applyBorder="1" applyAlignment="1" applyProtection="1">
      <alignment horizontal="center" vertical="center" wrapText="1"/>
      <protection/>
    </xf>
    <xf numFmtId="0" fontId="48" fillId="11" borderId="134" xfId="0" applyFont="1" applyFill="1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135" xfId="0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/>
      <protection/>
    </xf>
    <xf numFmtId="0" fontId="44" fillId="0" borderId="0" xfId="0" applyFont="1" applyAlignment="1" applyProtection="1">
      <alignment/>
      <protection/>
    </xf>
    <xf numFmtId="0" fontId="0" fillId="0" borderId="67" xfId="0" applyBorder="1" applyAlignment="1" applyProtection="1">
      <alignment horizontal="center" vertical="center" wrapText="1"/>
      <protection locked="0"/>
    </xf>
    <xf numFmtId="0" fontId="0" fillId="0" borderId="135" xfId="0" applyBorder="1" applyAlignment="1" applyProtection="1">
      <alignment horizontal="center" vertical="center" wrapText="1"/>
      <protection locked="0"/>
    </xf>
    <xf numFmtId="0" fontId="48" fillId="25" borderId="132" xfId="0" applyFont="1" applyFill="1" applyBorder="1" applyAlignment="1" applyProtection="1">
      <alignment horizontal="center" vertical="center" wrapText="1"/>
      <protection/>
    </xf>
    <xf numFmtId="0" fontId="48" fillId="25" borderId="133" xfId="0" applyFont="1" applyFill="1" applyBorder="1" applyAlignment="1" applyProtection="1">
      <alignment horizontal="center" vertical="center" wrapText="1"/>
      <protection/>
    </xf>
    <xf numFmtId="0" fontId="48" fillId="25" borderId="13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>
      <alignment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top" wrapText="1"/>
    </xf>
    <xf numFmtId="0" fontId="50" fillId="0" borderId="67" xfId="0" applyFont="1" applyBorder="1" applyAlignment="1" applyProtection="1">
      <alignment horizontal="center" vertical="center" wrapText="1"/>
      <protection locked="0"/>
    </xf>
    <xf numFmtId="0" fontId="50" fillId="0" borderId="135" xfId="0" applyFont="1" applyBorder="1" applyAlignment="1" applyProtection="1">
      <alignment horizontal="center" vertical="center" wrapText="1"/>
      <protection locked="0"/>
    </xf>
    <xf numFmtId="0" fontId="25" fillId="26" borderId="26" xfId="0" applyFont="1" applyFill="1" applyBorder="1" applyAlignment="1" applyProtection="1">
      <alignment horizontal="center" vertical="center" textRotation="90" wrapText="1"/>
      <protection/>
    </xf>
    <xf numFmtId="0" fontId="25" fillId="22" borderId="26" xfId="0" applyFont="1" applyFill="1" applyBorder="1" applyAlignment="1" applyProtection="1">
      <alignment horizontal="center" vertical="center" textRotation="90" wrapText="1"/>
      <protection/>
    </xf>
    <xf numFmtId="0" fontId="53" fillId="0" borderId="0" xfId="0" applyFont="1" applyAlignment="1" applyProtection="1">
      <alignment horizontal="center"/>
      <protection/>
    </xf>
    <xf numFmtId="0" fontId="25" fillId="3" borderId="26" xfId="0" applyFont="1" applyFill="1" applyBorder="1" applyAlignment="1" applyProtection="1">
      <alignment horizontal="center" vertical="center" textRotation="90" wrapText="1"/>
      <protection/>
    </xf>
    <xf numFmtId="0" fontId="25" fillId="7" borderId="26" xfId="0" applyFont="1" applyFill="1" applyBorder="1" applyAlignment="1" applyProtection="1">
      <alignment horizontal="center" vertical="center" textRotation="90" wrapText="1"/>
      <protection/>
    </xf>
    <xf numFmtId="0" fontId="52" fillId="3" borderId="26" xfId="0" applyFont="1" applyFill="1" applyBorder="1" applyAlignment="1" applyProtection="1">
      <alignment horizontal="center" vertical="center" textRotation="90" wrapText="1"/>
      <protection/>
    </xf>
    <xf numFmtId="0" fontId="53" fillId="0" borderId="0" xfId="0" applyFont="1" applyAlignment="1" applyProtection="1">
      <alignment horizontal="center" vertical="top"/>
      <protection/>
    </xf>
    <xf numFmtId="0" fontId="43" fillId="0" borderId="0" xfId="0" applyFont="1" applyAlignment="1" applyProtection="1">
      <alignment horizontal="center" vertical="top"/>
      <protection/>
    </xf>
    <xf numFmtId="0" fontId="44" fillId="0" borderId="0" xfId="0" applyFont="1" applyAlignment="1">
      <alignment vertical="top"/>
    </xf>
    <xf numFmtId="0" fontId="27" fillId="0" borderId="0" xfId="0" applyFont="1" applyAlignment="1" applyProtection="1">
      <alignment horizontal="center" vertical="center" wrapText="1"/>
      <protection/>
    </xf>
    <xf numFmtId="0" fontId="36" fillId="0" borderId="67" xfId="0" applyFont="1" applyBorder="1" applyAlignment="1" applyProtection="1">
      <alignment horizontal="center" vertical="center" wrapText="1"/>
      <protection locked="0"/>
    </xf>
    <xf numFmtId="0" fontId="36" fillId="0" borderId="135" xfId="0" applyFont="1" applyBorder="1" applyAlignment="1" applyProtection="1">
      <alignment horizontal="center" vertical="center" wrapText="1"/>
      <protection locked="0"/>
    </xf>
    <xf numFmtId="0" fontId="52" fillId="7" borderId="26" xfId="0" applyFont="1" applyFill="1" applyBorder="1" applyAlignment="1" applyProtection="1">
      <alignment horizontal="center" vertical="center" textRotation="90" wrapText="1"/>
      <protection/>
    </xf>
    <xf numFmtId="0" fontId="52" fillId="22" borderId="26" xfId="0" applyFont="1" applyFill="1" applyBorder="1" applyAlignment="1" applyProtection="1">
      <alignment horizontal="center" vertical="center" textRotation="90" wrapText="1"/>
      <protection/>
    </xf>
    <xf numFmtId="0" fontId="27" fillId="0" borderId="62" xfId="0" applyFont="1" applyBorder="1" applyAlignment="1">
      <alignment horizontal="center" vertical="center" textRotation="90" wrapText="1"/>
    </xf>
    <xf numFmtId="0" fontId="37" fillId="0" borderId="62" xfId="0" applyFont="1" applyBorder="1" applyAlignment="1">
      <alignment horizontal="center" vertical="center" textRotation="90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_Hoja1" xfId="56"/>
    <cellStyle name="Normal_Ranquing" xfId="57"/>
    <cellStyle name="Nota" xfId="58"/>
    <cellStyle name="Percent" xfId="59"/>
    <cellStyle name="Salida" xfId="60"/>
    <cellStyle name="Título" xfId="61"/>
    <cellStyle name="Total" xfId="62"/>
  </cellStyles>
  <dxfs count="47">
    <dxf>
      <font>
        <color indexed="9"/>
      </font>
    </dxf>
    <dxf>
      <font>
        <color indexed="9"/>
      </font>
    </dxf>
    <dxf>
      <font>
        <b/>
        <i val="0"/>
        <color auto="1"/>
      </font>
      <fill>
        <patternFill>
          <bgColor indexed="42"/>
        </patternFill>
      </fill>
    </dxf>
    <dxf>
      <font>
        <color indexed="9"/>
      </font>
    </dxf>
    <dxf>
      <font>
        <color indexed="9"/>
      </font>
    </dxf>
    <dxf>
      <font>
        <b/>
        <i val="0"/>
        <color auto="1"/>
      </font>
      <fill>
        <patternFill>
          <bgColor indexed="42"/>
        </patternFill>
      </fill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color auto="1"/>
      </font>
      <fill>
        <patternFill>
          <bgColor indexed="42"/>
        </patternFill>
      </fill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color indexed="9"/>
      </font>
    </dxf>
    <dxf>
      <font>
        <b/>
        <i val="0"/>
        <color auto="1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color indexed="9"/>
      </font>
    </dxf>
    <dxf>
      <font>
        <b/>
        <i val="0"/>
        <color auto="1"/>
      </font>
      <fill>
        <patternFill>
          <bgColor indexed="42"/>
        </patternFill>
      </fill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  <dxf>
      <font>
        <color indexed="9"/>
      </font>
    </dxf>
    <dxf>
      <font>
        <b/>
        <i val="0"/>
        <color auto="1"/>
      </font>
      <fill>
        <patternFill>
          <bgColor indexed="42"/>
        </patternFill>
      </fill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409575</xdr:colOff>
      <xdr:row>1</xdr:row>
      <xdr:rowOff>219075</xdr:rowOff>
    </xdr:from>
    <xdr:to>
      <xdr:col>21</xdr:col>
      <xdr:colOff>57150</xdr:colOff>
      <xdr:row>2</xdr:row>
      <xdr:rowOff>571500</xdr:rowOff>
    </xdr:to>
    <xdr:pic>
      <xdr:nvPicPr>
        <xdr:cNvPr id="1" name="Picture 1" descr="Escudo Monforte para Faceb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0" y="371475"/>
          <a:ext cx="6381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</xdr:row>
      <xdr:rowOff>409575</xdr:rowOff>
    </xdr:from>
    <xdr:to>
      <xdr:col>4</xdr:col>
      <xdr:colOff>95250</xdr:colOff>
      <xdr:row>3</xdr:row>
      <xdr:rowOff>76200</xdr:rowOff>
    </xdr:to>
    <xdr:pic>
      <xdr:nvPicPr>
        <xdr:cNvPr id="2" name="Picture 2" descr="Logo FC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561975"/>
          <a:ext cx="15525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323850</xdr:colOff>
      <xdr:row>2</xdr:row>
      <xdr:rowOff>66675</xdr:rowOff>
    </xdr:from>
    <xdr:to>
      <xdr:col>8</xdr:col>
      <xdr:colOff>257175</xdr:colOff>
      <xdr:row>2</xdr:row>
      <xdr:rowOff>609600</xdr:rowOff>
    </xdr:to>
    <xdr:pic>
      <xdr:nvPicPr>
        <xdr:cNvPr id="3" name="Imagen 1" descr="http://www.bcn.cat/publicacions/normativagrafica/vectorials/Marca/RGB_marca_Colo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71675" y="695325"/>
          <a:ext cx="1914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2</xdr:row>
      <xdr:rowOff>28575</xdr:rowOff>
    </xdr:from>
    <xdr:to>
      <xdr:col>2</xdr:col>
      <xdr:colOff>533400</xdr:colOff>
      <xdr:row>3</xdr:row>
      <xdr:rowOff>295275</xdr:rowOff>
    </xdr:to>
    <xdr:pic>
      <xdr:nvPicPr>
        <xdr:cNvPr id="1" name="Picture 2" descr="Logo FC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571500"/>
          <a:ext cx="809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2</xdr:row>
      <xdr:rowOff>76200</xdr:rowOff>
    </xdr:from>
    <xdr:to>
      <xdr:col>7</xdr:col>
      <xdr:colOff>619125</xdr:colOff>
      <xdr:row>3</xdr:row>
      <xdr:rowOff>266700</xdr:rowOff>
    </xdr:to>
    <xdr:pic>
      <xdr:nvPicPr>
        <xdr:cNvPr id="2" name="Imagen 1" descr="http://www.bcn.cat/publicacions/normativagrafica/vectorials/Marca/RGB_marca_Colo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0" y="619125"/>
          <a:ext cx="12858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876300</xdr:colOff>
      <xdr:row>2</xdr:row>
      <xdr:rowOff>28575</xdr:rowOff>
    </xdr:from>
    <xdr:to>
      <xdr:col>2</xdr:col>
      <xdr:colOff>1209675</xdr:colOff>
      <xdr:row>3</xdr:row>
      <xdr:rowOff>295275</xdr:rowOff>
    </xdr:to>
    <xdr:pic>
      <xdr:nvPicPr>
        <xdr:cNvPr id="3" name="Picture 1" descr="Escudo Monforte para Facebo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9700" y="571500"/>
          <a:ext cx="333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2</xdr:row>
      <xdr:rowOff>28575</xdr:rowOff>
    </xdr:from>
    <xdr:to>
      <xdr:col>2</xdr:col>
      <xdr:colOff>533400</xdr:colOff>
      <xdr:row>3</xdr:row>
      <xdr:rowOff>295275</xdr:rowOff>
    </xdr:to>
    <xdr:pic>
      <xdr:nvPicPr>
        <xdr:cNvPr id="1" name="Picture 2" descr="Logo FC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571500"/>
          <a:ext cx="809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</xdr:colOff>
      <xdr:row>2</xdr:row>
      <xdr:rowOff>76200</xdr:rowOff>
    </xdr:from>
    <xdr:to>
      <xdr:col>7</xdr:col>
      <xdr:colOff>676275</xdr:colOff>
      <xdr:row>3</xdr:row>
      <xdr:rowOff>266700</xdr:rowOff>
    </xdr:to>
    <xdr:pic>
      <xdr:nvPicPr>
        <xdr:cNvPr id="2" name="Imagen 1" descr="http://www.bcn.cat/publicacions/normativagrafica/vectorials/Marca/RGB_marca_Colo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0175" y="619125"/>
          <a:ext cx="12763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695325</xdr:colOff>
      <xdr:row>2</xdr:row>
      <xdr:rowOff>28575</xdr:rowOff>
    </xdr:from>
    <xdr:to>
      <xdr:col>2</xdr:col>
      <xdr:colOff>1028700</xdr:colOff>
      <xdr:row>3</xdr:row>
      <xdr:rowOff>295275</xdr:rowOff>
    </xdr:to>
    <xdr:pic>
      <xdr:nvPicPr>
        <xdr:cNvPr id="3" name="Picture 1" descr="Escudo Monforte para Facebo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8725" y="571500"/>
          <a:ext cx="333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1</xdr:row>
      <xdr:rowOff>28575</xdr:rowOff>
    </xdr:from>
    <xdr:to>
      <xdr:col>3</xdr:col>
      <xdr:colOff>447675</xdr:colOff>
      <xdr:row>2</xdr:row>
      <xdr:rowOff>123825</xdr:rowOff>
    </xdr:to>
    <xdr:pic>
      <xdr:nvPicPr>
        <xdr:cNvPr id="1" name="Picture 2" descr="Logo FC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52400"/>
          <a:ext cx="7620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2</xdr:row>
      <xdr:rowOff>152400</xdr:rowOff>
    </xdr:from>
    <xdr:to>
      <xdr:col>4</xdr:col>
      <xdr:colOff>200025</xdr:colOff>
      <xdr:row>3</xdr:row>
      <xdr:rowOff>66675</xdr:rowOff>
    </xdr:to>
    <xdr:pic>
      <xdr:nvPicPr>
        <xdr:cNvPr id="2" name="Imagen 1" descr="http://www.bcn.cat/publicacions/normativagrafica/vectorials/Marca/RGB_marca_Colo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609600"/>
          <a:ext cx="1028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190500</xdr:colOff>
      <xdr:row>1</xdr:row>
      <xdr:rowOff>57150</xdr:rowOff>
    </xdr:from>
    <xdr:to>
      <xdr:col>11</xdr:col>
      <xdr:colOff>152400</xdr:colOff>
      <xdr:row>2</xdr:row>
      <xdr:rowOff>314325</xdr:rowOff>
    </xdr:to>
    <xdr:pic>
      <xdr:nvPicPr>
        <xdr:cNvPr id="3" name="Picture 1" descr="Escudo Monforte para Facebo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05550" y="180975"/>
          <a:ext cx="4381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2</xdr:row>
      <xdr:rowOff>28575</xdr:rowOff>
    </xdr:from>
    <xdr:to>
      <xdr:col>3</xdr:col>
      <xdr:colOff>533400</xdr:colOff>
      <xdr:row>3</xdr:row>
      <xdr:rowOff>295275</xdr:rowOff>
    </xdr:to>
    <xdr:pic>
      <xdr:nvPicPr>
        <xdr:cNvPr id="1" name="Picture 2" descr="Logo FC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571500"/>
          <a:ext cx="809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57150</xdr:colOff>
      <xdr:row>2</xdr:row>
      <xdr:rowOff>76200</xdr:rowOff>
    </xdr:from>
    <xdr:to>
      <xdr:col>8</xdr:col>
      <xdr:colOff>619125</xdr:colOff>
      <xdr:row>3</xdr:row>
      <xdr:rowOff>266700</xdr:rowOff>
    </xdr:to>
    <xdr:pic>
      <xdr:nvPicPr>
        <xdr:cNvPr id="2" name="Imagen 1" descr="http://www.bcn.cat/publicacions/normativagrafica/vectorials/Marca/RGB_marca_Colo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619125"/>
          <a:ext cx="12858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876300</xdr:colOff>
      <xdr:row>2</xdr:row>
      <xdr:rowOff>28575</xdr:rowOff>
    </xdr:from>
    <xdr:to>
      <xdr:col>3</xdr:col>
      <xdr:colOff>1209675</xdr:colOff>
      <xdr:row>3</xdr:row>
      <xdr:rowOff>295275</xdr:rowOff>
    </xdr:to>
    <xdr:pic>
      <xdr:nvPicPr>
        <xdr:cNvPr id="3" name="Picture 1" descr="Escudo Monforte para Facebo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38300" y="571500"/>
          <a:ext cx="333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466725</xdr:colOff>
      <xdr:row>4</xdr:row>
      <xdr:rowOff>295275</xdr:rowOff>
    </xdr:from>
    <xdr:to>
      <xdr:col>22</xdr:col>
      <xdr:colOff>114300</xdr:colOff>
      <xdr:row>7</xdr:row>
      <xdr:rowOff>85725</xdr:rowOff>
    </xdr:to>
    <xdr:pic>
      <xdr:nvPicPr>
        <xdr:cNvPr id="1" name="Picture 1" descr="Escudo Monforte para Faceb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29825" y="1771650"/>
          <a:ext cx="6381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1</xdr:row>
      <xdr:rowOff>447675</xdr:rowOff>
    </xdr:from>
    <xdr:to>
      <xdr:col>4</xdr:col>
      <xdr:colOff>76200</xdr:colOff>
      <xdr:row>3</xdr:row>
      <xdr:rowOff>38100</xdr:rowOff>
    </xdr:to>
    <xdr:pic>
      <xdr:nvPicPr>
        <xdr:cNvPr id="2" name="Picture 2" descr="Logo FC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" y="600075"/>
          <a:ext cx="14001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485775</xdr:colOff>
      <xdr:row>2</xdr:row>
      <xdr:rowOff>66675</xdr:rowOff>
    </xdr:from>
    <xdr:to>
      <xdr:col>22</xdr:col>
      <xdr:colOff>428625</xdr:colOff>
      <xdr:row>2</xdr:row>
      <xdr:rowOff>609600</xdr:rowOff>
    </xdr:to>
    <xdr:pic>
      <xdr:nvPicPr>
        <xdr:cNvPr id="3" name="Imagen 1" descr="http://www.bcn.cat/publicacions/normativagrafica/vectorials/Marca/RGB_marca_Colo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58275" y="695325"/>
          <a:ext cx="1924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390525</xdr:colOff>
      <xdr:row>1</xdr:row>
      <xdr:rowOff>219075</xdr:rowOff>
    </xdr:from>
    <xdr:to>
      <xdr:col>13</xdr:col>
      <xdr:colOff>219075</xdr:colOff>
      <xdr:row>2</xdr:row>
      <xdr:rowOff>581025</xdr:rowOff>
    </xdr:to>
    <xdr:pic>
      <xdr:nvPicPr>
        <xdr:cNvPr id="1" name="Picture 1" descr="Escudo Monforte para Faceb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6400" y="371475"/>
          <a:ext cx="5905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</xdr:row>
      <xdr:rowOff>28575</xdr:rowOff>
    </xdr:from>
    <xdr:to>
      <xdr:col>2</xdr:col>
      <xdr:colOff>428625</xdr:colOff>
      <xdr:row>2</xdr:row>
      <xdr:rowOff>276225</xdr:rowOff>
    </xdr:to>
    <xdr:pic>
      <xdr:nvPicPr>
        <xdr:cNvPr id="2" name="Picture 2" descr="Logo FC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180975"/>
          <a:ext cx="12858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2</xdr:row>
      <xdr:rowOff>333375</xdr:rowOff>
    </xdr:from>
    <xdr:to>
      <xdr:col>3</xdr:col>
      <xdr:colOff>219075</xdr:colOff>
      <xdr:row>4</xdr:row>
      <xdr:rowOff>28575</xdr:rowOff>
    </xdr:to>
    <xdr:pic>
      <xdr:nvPicPr>
        <xdr:cNvPr id="3" name="Imagen 1" descr="http://www.bcn.cat/publicacions/normativagrafica/vectorials/Marca/RGB_marca_Colo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962025"/>
          <a:ext cx="19145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1</xdr:row>
      <xdr:rowOff>28575</xdr:rowOff>
    </xdr:from>
    <xdr:to>
      <xdr:col>3</xdr:col>
      <xdr:colOff>447675</xdr:colOff>
      <xdr:row>2</xdr:row>
      <xdr:rowOff>142875</xdr:rowOff>
    </xdr:to>
    <xdr:pic>
      <xdr:nvPicPr>
        <xdr:cNvPr id="1" name="Picture 2" descr="Logo FC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52400"/>
          <a:ext cx="7620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2</xdr:row>
      <xdr:rowOff>152400</xdr:rowOff>
    </xdr:from>
    <xdr:to>
      <xdr:col>4</xdr:col>
      <xdr:colOff>200025</xdr:colOff>
      <xdr:row>3</xdr:row>
      <xdr:rowOff>66675</xdr:rowOff>
    </xdr:to>
    <xdr:pic>
      <xdr:nvPicPr>
        <xdr:cNvPr id="2" name="Imagen 1" descr="http://www.bcn.cat/publicacions/normativagrafica/vectorials/Marca/RGB_marca_Colo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571500"/>
          <a:ext cx="1028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1</xdr:row>
      <xdr:rowOff>114300</xdr:rowOff>
    </xdr:from>
    <xdr:to>
      <xdr:col>11</xdr:col>
      <xdr:colOff>190500</xdr:colOff>
      <xdr:row>2</xdr:row>
      <xdr:rowOff>314325</xdr:rowOff>
    </xdr:to>
    <xdr:pic>
      <xdr:nvPicPr>
        <xdr:cNvPr id="3" name="Picture 1" descr="Escudo Monforte para Facebo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29375" y="238125"/>
          <a:ext cx="4000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1</xdr:row>
      <xdr:rowOff>28575</xdr:rowOff>
    </xdr:from>
    <xdr:to>
      <xdr:col>3</xdr:col>
      <xdr:colOff>447675</xdr:colOff>
      <xdr:row>2</xdr:row>
      <xdr:rowOff>142875</xdr:rowOff>
    </xdr:to>
    <xdr:pic>
      <xdr:nvPicPr>
        <xdr:cNvPr id="1" name="Picture 2" descr="Logo FC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152400"/>
          <a:ext cx="7620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2</xdr:row>
      <xdr:rowOff>152400</xdr:rowOff>
    </xdr:from>
    <xdr:to>
      <xdr:col>4</xdr:col>
      <xdr:colOff>200025</xdr:colOff>
      <xdr:row>3</xdr:row>
      <xdr:rowOff>66675</xdr:rowOff>
    </xdr:to>
    <xdr:pic>
      <xdr:nvPicPr>
        <xdr:cNvPr id="2" name="Imagen 1" descr="http://www.bcn.cat/publicacions/normativagrafica/vectorials/Marca/RGB_marca_Colo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571500"/>
          <a:ext cx="1028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1</xdr:row>
      <xdr:rowOff>114300</xdr:rowOff>
    </xdr:from>
    <xdr:to>
      <xdr:col>11</xdr:col>
      <xdr:colOff>190500</xdr:colOff>
      <xdr:row>2</xdr:row>
      <xdr:rowOff>314325</xdr:rowOff>
    </xdr:to>
    <xdr:pic>
      <xdr:nvPicPr>
        <xdr:cNvPr id="3" name="Picture 1" descr="Escudo Monforte para Facebo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29375" y="238125"/>
          <a:ext cx="4000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2</xdr:row>
      <xdr:rowOff>28575</xdr:rowOff>
    </xdr:from>
    <xdr:to>
      <xdr:col>2</xdr:col>
      <xdr:colOff>533400</xdr:colOff>
      <xdr:row>3</xdr:row>
      <xdr:rowOff>295275</xdr:rowOff>
    </xdr:to>
    <xdr:pic>
      <xdr:nvPicPr>
        <xdr:cNvPr id="1" name="Picture 2" descr="Logo FC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571500"/>
          <a:ext cx="809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2</xdr:row>
      <xdr:rowOff>76200</xdr:rowOff>
    </xdr:from>
    <xdr:to>
      <xdr:col>7</xdr:col>
      <xdr:colOff>619125</xdr:colOff>
      <xdr:row>3</xdr:row>
      <xdr:rowOff>266700</xdr:rowOff>
    </xdr:to>
    <xdr:pic>
      <xdr:nvPicPr>
        <xdr:cNvPr id="2" name="Imagen 1" descr="http://www.bcn.cat/publicacions/normativagrafica/vectorials/Marca/RGB_marca_Colo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0" y="619125"/>
          <a:ext cx="12858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876300</xdr:colOff>
      <xdr:row>2</xdr:row>
      <xdr:rowOff>28575</xdr:rowOff>
    </xdr:from>
    <xdr:to>
      <xdr:col>2</xdr:col>
      <xdr:colOff>1209675</xdr:colOff>
      <xdr:row>3</xdr:row>
      <xdr:rowOff>295275</xdr:rowOff>
    </xdr:to>
    <xdr:pic>
      <xdr:nvPicPr>
        <xdr:cNvPr id="3" name="Picture 1" descr="Escudo Monforte para Facebo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9700" y="571500"/>
          <a:ext cx="333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1</xdr:row>
      <xdr:rowOff>28575</xdr:rowOff>
    </xdr:from>
    <xdr:to>
      <xdr:col>3</xdr:col>
      <xdr:colOff>447675</xdr:colOff>
      <xdr:row>2</xdr:row>
      <xdr:rowOff>142875</xdr:rowOff>
    </xdr:to>
    <xdr:pic>
      <xdr:nvPicPr>
        <xdr:cNvPr id="1" name="Picture 2" descr="Logo FC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52400"/>
          <a:ext cx="7620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2</xdr:row>
      <xdr:rowOff>152400</xdr:rowOff>
    </xdr:from>
    <xdr:to>
      <xdr:col>4</xdr:col>
      <xdr:colOff>200025</xdr:colOff>
      <xdr:row>3</xdr:row>
      <xdr:rowOff>66675</xdr:rowOff>
    </xdr:to>
    <xdr:pic>
      <xdr:nvPicPr>
        <xdr:cNvPr id="2" name="Imagen 1" descr="http://www.bcn.cat/publicacions/normativagrafica/vectorials/Marca/RGB_marca_Colo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571500"/>
          <a:ext cx="1028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295275</xdr:colOff>
      <xdr:row>1</xdr:row>
      <xdr:rowOff>114300</xdr:rowOff>
    </xdr:from>
    <xdr:to>
      <xdr:col>11</xdr:col>
      <xdr:colOff>209550</xdr:colOff>
      <xdr:row>2</xdr:row>
      <xdr:rowOff>314325</xdr:rowOff>
    </xdr:to>
    <xdr:pic>
      <xdr:nvPicPr>
        <xdr:cNvPr id="3" name="Picture 1" descr="Escudo Monforte para Facebo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24600" y="238125"/>
          <a:ext cx="390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2</xdr:row>
      <xdr:rowOff>28575</xdr:rowOff>
    </xdr:from>
    <xdr:to>
      <xdr:col>2</xdr:col>
      <xdr:colOff>533400</xdr:colOff>
      <xdr:row>3</xdr:row>
      <xdr:rowOff>295275</xdr:rowOff>
    </xdr:to>
    <xdr:pic>
      <xdr:nvPicPr>
        <xdr:cNvPr id="1" name="Picture 2" descr="Logo FC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571500"/>
          <a:ext cx="8096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57150</xdr:colOff>
      <xdr:row>2</xdr:row>
      <xdr:rowOff>76200</xdr:rowOff>
    </xdr:from>
    <xdr:to>
      <xdr:col>7</xdr:col>
      <xdr:colOff>619125</xdr:colOff>
      <xdr:row>3</xdr:row>
      <xdr:rowOff>266700</xdr:rowOff>
    </xdr:to>
    <xdr:pic>
      <xdr:nvPicPr>
        <xdr:cNvPr id="2" name="Imagen 1" descr="http://www.bcn.cat/publicacions/normativagrafica/vectorials/Marca/RGB_marca_Colo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0" y="619125"/>
          <a:ext cx="12858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876300</xdr:colOff>
      <xdr:row>2</xdr:row>
      <xdr:rowOff>28575</xdr:rowOff>
    </xdr:from>
    <xdr:to>
      <xdr:col>2</xdr:col>
      <xdr:colOff>1209675</xdr:colOff>
      <xdr:row>3</xdr:row>
      <xdr:rowOff>295275</xdr:rowOff>
    </xdr:to>
    <xdr:pic>
      <xdr:nvPicPr>
        <xdr:cNvPr id="3" name="Picture 1" descr="Escudo Monforte para Facebo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09700" y="571500"/>
          <a:ext cx="333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1</xdr:row>
      <xdr:rowOff>28575</xdr:rowOff>
    </xdr:from>
    <xdr:to>
      <xdr:col>3</xdr:col>
      <xdr:colOff>447675</xdr:colOff>
      <xdr:row>2</xdr:row>
      <xdr:rowOff>142875</xdr:rowOff>
    </xdr:to>
    <xdr:pic>
      <xdr:nvPicPr>
        <xdr:cNvPr id="1" name="Picture 2" descr="Logo FC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52400"/>
          <a:ext cx="7620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2</xdr:row>
      <xdr:rowOff>152400</xdr:rowOff>
    </xdr:from>
    <xdr:to>
      <xdr:col>4</xdr:col>
      <xdr:colOff>200025</xdr:colOff>
      <xdr:row>3</xdr:row>
      <xdr:rowOff>66675</xdr:rowOff>
    </xdr:to>
    <xdr:pic>
      <xdr:nvPicPr>
        <xdr:cNvPr id="2" name="Imagen 1" descr="http://www.bcn.cat/publicacions/normativagrafica/vectorials/Marca/RGB_marca_Colo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571500"/>
          <a:ext cx="1028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295275</xdr:colOff>
      <xdr:row>1</xdr:row>
      <xdr:rowOff>114300</xdr:rowOff>
    </xdr:from>
    <xdr:to>
      <xdr:col>11</xdr:col>
      <xdr:colOff>209550</xdr:colOff>
      <xdr:row>2</xdr:row>
      <xdr:rowOff>314325</xdr:rowOff>
    </xdr:to>
    <xdr:pic>
      <xdr:nvPicPr>
        <xdr:cNvPr id="3" name="Picture 1" descr="Escudo Monforte para Facebok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43650" y="238125"/>
          <a:ext cx="3905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01"/>
  <sheetViews>
    <sheetView zoomScale="90" zoomScaleNormal="90" workbookViewId="0" topLeftCell="A15">
      <selection activeCell="C6" sqref="C6:K7"/>
    </sheetView>
  </sheetViews>
  <sheetFormatPr defaultColWidth="11.421875" defaultRowHeight="12.75"/>
  <cols>
    <col min="1" max="1" width="2.421875" style="0" customWidth="1"/>
    <col min="2" max="17" width="7.421875" style="0" customWidth="1"/>
    <col min="18" max="18" width="8.00390625" style="0" customWidth="1"/>
    <col min="19" max="22" width="7.421875" style="0" customWidth="1"/>
    <col min="23" max="23" width="2.421875" style="0" customWidth="1"/>
    <col min="24" max="24" width="11.7109375" style="0" customWidth="1"/>
  </cols>
  <sheetData>
    <row r="1" spans="1:37" ht="12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</row>
    <row r="2" spans="1:37" ht="37.5">
      <c r="A2" s="56"/>
      <c r="B2" s="56"/>
      <c r="C2" s="56"/>
      <c r="D2" s="56"/>
      <c r="E2" s="409" t="s">
        <v>173</v>
      </c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</row>
    <row r="3" spans="1:37" ht="53.25" customHeight="1">
      <c r="A3" s="56"/>
      <c r="B3" s="56"/>
      <c r="C3" s="56"/>
      <c r="D3" s="56"/>
      <c r="E3" s="56"/>
      <c r="F3" s="56"/>
      <c r="G3" s="410" t="s">
        <v>258</v>
      </c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</row>
    <row r="4" spans="1:37" ht="13.5" thickBo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</row>
    <row r="5" spans="1:37" ht="35.25" customHeight="1" thickBot="1" thickTop="1">
      <c r="A5" s="56"/>
      <c r="B5" s="59"/>
      <c r="C5" s="429" t="s">
        <v>16</v>
      </c>
      <c r="D5" s="430"/>
      <c r="E5" s="430"/>
      <c r="F5" s="430"/>
      <c r="G5" s="430"/>
      <c r="H5" s="430"/>
      <c r="I5" s="430"/>
      <c r="J5" s="430"/>
      <c r="K5" s="431"/>
      <c r="L5" s="432" t="s">
        <v>17</v>
      </c>
      <c r="M5" s="433"/>
      <c r="N5" s="433"/>
      <c r="O5" s="433"/>
      <c r="P5" s="434"/>
      <c r="Q5" s="426" t="s">
        <v>18</v>
      </c>
      <c r="R5" s="431"/>
      <c r="S5" s="435" t="s">
        <v>19</v>
      </c>
      <c r="T5" s="431"/>
      <c r="U5" s="426" t="s">
        <v>20</v>
      </c>
      <c r="V5" s="427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</row>
    <row r="6" spans="1:37" s="47" customFormat="1" ht="18" thickTop="1">
      <c r="A6" s="57"/>
      <c r="B6" s="48">
        <v>1</v>
      </c>
      <c r="C6" s="417" t="s">
        <v>251</v>
      </c>
      <c r="D6" s="418"/>
      <c r="E6" s="418"/>
      <c r="F6" s="418"/>
      <c r="G6" s="418"/>
      <c r="H6" s="418"/>
      <c r="I6" s="418"/>
      <c r="J6" s="418"/>
      <c r="K6" s="418"/>
      <c r="L6" s="428" t="s">
        <v>21</v>
      </c>
      <c r="M6" s="418"/>
      <c r="N6" s="418"/>
      <c r="O6" s="418"/>
      <c r="P6" s="418"/>
      <c r="Q6" s="419">
        <v>5</v>
      </c>
      <c r="R6" s="418"/>
      <c r="S6" s="419">
        <v>1150</v>
      </c>
      <c r="T6" s="418"/>
      <c r="U6" s="415"/>
      <c r="V6" s="416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</row>
    <row r="7" spans="1:37" s="47" customFormat="1" ht="16.5">
      <c r="A7" s="57"/>
      <c r="B7" s="49">
        <v>2</v>
      </c>
      <c r="C7" s="411" t="s">
        <v>22</v>
      </c>
      <c r="D7" s="412"/>
      <c r="E7" s="412"/>
      <c r="F7" s="412"/>
      <c r="G7" s="412"/>
      <c r="H7" s="412"/>
      <c r="I7" s="412"/>
      <c r="J7" s="412"/>
      <c r="K7" s="412"/>
      <c r="L7" s="413" t="s">
        <v>259</v>
      </c>
      <c r="M7" s="412"/>
      <c r="N7" s="412"/>
      <c r="O7" s="412"/>
      <c r="P7" s="412"/>
      <c r="Q7" s="414">
        <v>6</v>
      </c>
      <c r="R7" s="412"/>
      <c r="S7" s="414">
        <v>1148</v>
      </c>
      <c r="T7" s="412"/>
      <c r="U7" s="407"/>
      <c r="V7" s="408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</row>
    <row r="8" spans="1:37" s="47" customFormat="1" ht="16.5">
      <c r="A8" s="57"/>
      <c r="B8" s="49">
        <v>3</v>
      </c>
      <c r="C8" s="411" t="s">
        <v>216</v>
      </c>
      <c r="D8" s="412"/>
      <c r="E8" s="412"/>
      <c r="F8" s="412"/>
      <c r="G8" s="412"/>
      <c r="H8" s="412"/>
      <c r="I8" s="412"/>
      <c r="J8" s="412"/>
      <c r="K8" s="412"/>
      <c r="L8" s="413" t="s">
        <v>23</v>
      </c>
      <c r="M8" s="412"/>
      <c r="N8" s="412"/>
      <c r="O8" s="412"/>
      <c r="P8" s="412"/>
      <c r="Q8" s="414">
        <v>7</v>
      </c>
      <c r="R8" s="412"/>
      <c r="S8" s="414">
        <v>1142</v>
      </c>
      <c r="T8" s="412"/>
      <c r="U8" s="407"/>
      <c r="V8" s="408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</row>
    <row r="9" spans="1:37" s="47" customFormat="1" ht="16.5">
      <c r="A9" s="57"/>
      <c r="B9" s="49">
        <v>4</v>
      </c>
      <c r="C9" s="411" t="s">
        <v>24</v>
      </c>
      <c r="D9" s="412"/>
      <c r="E9" s="412"/>
      <c r="F9" s="412"/>
      <c r="G9" s="412"/>
      <c r="H9" s="412"/>
      <c r="I9" s="412"/>
      <c r="J9" s="412"/>
      <c r="K9" s="412"/>
      <c r="L9" s="413" t="s">
        <v>21</v>
      </c>
      <c r="M9" s="412"/>
      <c r="N9" s="412"/>
      <c r="O9" s="412"/>
      <c r="P9" s="412"/>
      <c r="Q9" s="414">
        <v>8</v>
      </c>
      <c r="R9" s="412"/>
      <c r="S9" s="414">
        <v>1117</v>
      </c>
      <c r="T9" s="412"/>
      <c r="U9" s="407"/>
      <c r="V9" s="408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</row>
    <row r="10" spans="1:37" s="47" customFormat="1" ht="16.5">
      <c r="A10" s="57"/>
      <c r="B10" s="49">
        <v>5</v>
      </c>
      <c r="C10" s="411" t="s">
        <v>25</v>
      </c>
      <c r="D10" s="412"/>
      <c r="E10" s="412"/>
      <c r="F10" s="412"/>
      <c r="G10" s="412"/>
      <c r="H10" s="412"/>
      <c r="I10" s="412"/>
      <c r="J10" s="412"/>
      <c r="K10" s="412"/>
      <c r="L10" s="413" t="s">
        <v>21</v>
      </c>
      <c r="M10" s="412"/>
      <c r="N10" s="412"/>
      <c r="O10" s="412"/>
      <c r="P10" s="412"/>
      <c r="Q10" s="414">
        <v>9</v>
      </c>
      <c r="R10" s="412"/>
      <c r="S10" s="414">
        <v>1035</v>
      </c>
      <c r="T10" s="412"/>
      <c r="U10" s="407"/>
      <c r="V10" s="408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</row>
    <row r="11" spans="1:37" s="47" customFormat="1" ht="16.5">
      <c r="A11" s="57"/>
      <c r="B11" s="49">
        <v>6</v>
      </c>
      <c r="C11" s="411" t="s">
        <v>252</v>
      </c>
      <c r="D11" s="412"/>
      <c r="E11" s="412"/>
      <c r="F11" s="412"/>
      <c r="G11" s="412"/>
      <c r="H11" s="412"/>
      <c r="I11" s="412"/>
      <c r="J11" s="412"/>
      <c r="K11" s="412"/>
      <c r="L11" s="413" t="s">
        <v>26</v>
      </c>
      <c r="M11" s="412"/>
      <c r="N11" s="412"/>
      <c r="O11" s="412"/>
      <c r="P11" s="412"/>
      <c r="Q11" s="414">
        <v>16</v>
      </c>
      <c r="R11" s="412"/>
      <c r="S11" s="414">
        <v>953</v>
      </c>
      <c r="T11" s="412"/>
      <c r="U11" s="407"/>
      <c r="V11" s="408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</row>
    <row r="12" spans="1:37" s="47" customFormat="1" ht="16.5">
      <c r="A12" s="57"/>
      <c r="B12" s="49">
        <v>7</v>
      </c>
      <c r="C12" s="411" t="s">
        <v>217</v>
      </c>
      <c r="D12" s="412"/>
      <c r="E12" s="412"/>
      <c r="F12" s="412"/>
      <c r="G12" s="412"/>
      <c r="H12" s="412"/>
      <c r="I12" s="412"/>
      <c r="J12" s="412"/>
      <c r="K12" s="412"/>
      <c r="L12" s="413" t="s">
        <v>27</v>
      </c>
      <c r="M12" s="412"/>
      <c r="N12" s="412"/>
      <c r="O12" s="412"/>
      <c r="P12" s="412"/>
      <c r="Q12" s="414">
        <v>18</v>
      </c>
      <c r="R12" s="412"/>
      <c r="S12" s="414">
        <v>900</v>
      </c>
      <c r="T12" s="412"/>
      <c r="U12" s="407"/>
      <c r="V12" s="408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</row>
    <row r="13" spans="1:37" s="47" customFormat="1" ht="16.5">
      <c r="A13" s="57"/>
      <c r="B13" s="49">
        <v>8</v>
      </c>
      <c r="C13" s="411" t="s">
        <v>28</v>
      </c>
      <c r="D13" s="412"/>
      <c r="E13" s="412"/>
      <c r="F13" s="412"/>
      <c r="G13" s="412"/>
      <c r="H13" s="412"/>
      <c r="I13" s="412"/>
      <c r="J13" s="412"/>
      <c r="K13" s="412"/>
      <c r="L13" s="413" t="s">
        <v>29</v>
      </c>
      <c r="M13" s="412"/>
      <c r="N13" s="412"/>
      <c r="O13" s="412"/>
      <c r="P13" s="412"/>
      <c r="Q13" s="414">
        <v>20</v>
      </c>
      <c r="R13" s="412"/>
      <c r="S13" s="414">
        <v>891</v>
      </c>
      <c r="T13" s="412"/>
      <c r="U13" s="407"/>
      <c r="V13" s="408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</row>
    <row r="14" spans="1:37" s="47" customFormat="1" ht="16.5">
      <c r="A14" s="57"/>
      <c r="B14" s="49">
        <v>9</v>
      </c>
      <c r="C14" s="411" t="s">
        <v>218</v>
      </c>
      <c r="D14" s="412"/>
      <c r="E14" s="412"/>
      <c r="F14" s="412"/>
      <c r="G14" s="412"/>
      <c r="H14" s="412"/>
      <c r="I14" s="412"/>
      <c r="J14" s="412"/>
      <c r="K14" s="412"/>
      <c r="L14" s="413" t="s">
        <v>30</v>
      </c>
      <c r="M14" s="412"/>
      <c r="N14" s="412"/>
      <c r="O14" s="412"/>
      <c r="P14" s="412"/>
      <c r="Q14" s="414">
        <v>25</v>
      </c>
      <c r="R14" s="412"/>
      <c r="S14" s="414">
        <v>846</v>
      </c>
      <c r="T14" s="412"/>
      <c r="U14" s="407"/>
      <c r="V14" s="408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</row>
    <row r="15" spans="1:37" s="47" customFormat="1" ht="16.5">
      <c r="A15" s="57"/>
      <c r="B15" s="49">
        <v>10</v>
      </c>
      <c r="C15" s="411" t="s">
        <v>31</v>
      </c>
      <c r="D15" s="412"/>
      <c r="E15" s="412"/>
      <c r="F15" s="412"/>
      <c r="G15" s="412"/>
      <c r="H15" s="412"/>
      <c r="I15" s="412"/>
      <c r="J15" s="412"/>
      <c r="K15" s="412"/>
      <c r="L15" s="413" t="s">
        <v>32</v>
      </c>
      <c r="M15" s="412"/>
      <c r="N15" s="412"/>
      <c r="O15" s="412"/>
      <c r="P15" s="412"/>
      <c r="Q15" s="414">
        <v>26</v>
      </c>
      <c r="R15" s="412"/>
      <c r="S15" s="414">
        <v>838</v>
      </c>
      <c r="T15" s="412"/>
      <c r="U15" s="407"/>
      <c r="V15" s="408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</row>
    <row r="16" spans="1:37" s="47" customFormat="1" ht="16.5">
      <c r="A16" s="57"/>
      <c r="B16" s="49">
        <v>11</v>
      </c>
      <c r="C16" s="411" t="s">
        <v>33</v>
      </c>
      <c r="D16" s="412"/>
      <c r="E16" s="412"/>
      <c r="F16" s="412"/>
      <c r="G16" s="412"/>
      <c r="H16" s="412"/>
      <c r="I16" s="412"/>
      <c r="J16" s="412"/>
      <c r="K16" s="412"/>
      <c r="L16" s="413" t="s">
        <v>34</v>
      </c>
      <c r="M16" s="412"/>
      <c r="N16" s="412"/>
      <c r="O16" s="412"/>
      <c r="P16" s="412"/>
      <c r="Q16" s="414">
        <v>32</v>
      </c>
      <c r="R16" s="412"/>
      <c r="S16" s="414">
        <v>795</v>
      </c>
      <c r="T16" s="412"/>
      <c r="U16" s="407"/>
      <c r="V16" s="408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</row>
    <row r="17" spans="1:37" s="47" customFormat="1" ht="16.5">
      <c r="A17" s="57"/>
      <c r="B17" s="49">
        <v>12</v>
      </c>
      <c r="C17" s="411" t="s">
        <v>219</v>
      </c>
      <c r="D17" s="412"/>
      <c r="E17" s="412"/>
      <c r="F17" s="412"/>
      <c r="G17" s="412"/>
      <c r="H17" s="412"/>
      <c r="I17" s="412"/>
      <c r="J17" s="412"/>
      <c r="K17" s="412"/>
      <c r="L17" s="413" t="s">
        <v>32</v>
      </c>
      <c r="M17" s="412"/>
      <c r="N17" s="412"/>
      <c r="O17" s="412"/>
      <c r="P17" s="412"/>
      <c r="Q17" s="414">
        <v>33</v>
      </c>
      <c r="R17" s="412"/>
      <c r="S17" s="414">
        <v>788</v>
      </c>
      <c r="T17" s="412"/>
      <c r="U17" s="407"/>
      <c r="V17" s="408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</row>
    <row r="18" spans="1:37" s="47" customFormat="1" ht="18" customHeight="1">
      <c r="A18" s="57"/>
      <c r="B18" s="49">
        <v>13</v>
      </c>
      <c r="C18" s="411" t="s">
        <v>220</v>
      </c>
      <c r="D18" s="412"/>
      <c r="E18" s="412"/>
      <c r="F18" s="412"/>
      <c r="G18" s="412"/>
      <c r="H18" s="412"/>
      <c r="I18" s="412"/>
      <c r="J18" s="412"/>
      <c r="K18" s="412"/>
      <c r="L18" s="413" t="s">
        <v>34</v>
      </c>
      <c r="M18" s="412"/>
      <c r="N18" s="412"/>
      <c r="O18" s="412"/>
      <c r="P18" s="412"/>
      <c r="Q18" s="414">
        <v>34</v>
      </c>
      <c r="R18" s="412"/>
      <c r="S18" s="414">
        <v>770</v>
      </c>
      <c r="T18" s="412"/>
      <c r="U18" s="407"/>
      <c r="V18" s="408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</row>
    <row r="19" spans="1:37" s="47" customFormat="1" ht="16.5">
      <c r="A19" s="57"/>
      <c r="B19" s="49">
        <v>14</v>
      </c>
      <c r="C19" s="411" t="s">
        <v>221</v>
      </c>
      <c r="D19" s="412"/>
      <c r="E19" s="412"/>
      <c r="F19" s="412"/>
      <c r="G19" s="412"/>
      <c r="H19" s="412"/>
      <c r="I19" s="412"/>
      <c r="J19" s="412"/>
      <c r="K19" s="412"/>
      <c r="L19" s="413" t="s">
        <v>244</v>
      </c>
      <c r="M19" s="412"/>
      <c r="N19" s="412"/>
      <c r="O19" s="412"/>
      <c r="P19" s="412"/>
      <c r="Q19" s="414">
        <v>39</v>
      </c>
      <c r="R19" s="412"/>
      <c r="S19" s="414">
        <v>757</v>
      </c>
      <c r="T19" s="412"/>
      <c r="U19" s="407"/>
      <c r="V19" s="408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</row>
    <row r="20" spans="1:37" s="47" customFormat="1" ht="16.5">
      <c r="A20" s="57"/>
      <c r="B20" s="49">
        <v>15</v>
      </c>
      <c r="C20" s="411" t="s">
        <v>253</v>
      </c>
      <c r="D20" s="412"/>
      <c r="E20" s="412"/>
      <c r="F20" s="412"/>
      <c r="G20" s="412"/>
      <c r="H20" s="412"/>
      <c r="I20" s="412"/>
      <c r="J20" s="412"/>
      <c r="K20" s="412"/>
      <c r="L20" s="413" t="s">
        <v>245</v>
      </c>
      <c r="M20" s="412"/>
      <c r="N20" s="412"/>
      <c r="O20" s="412"/>
      <c r="P20" s="412"/>
      <c r="Q20" s="414">
        <v>42</v>
      </c>
      <c r="R20" s="412"/>
      <c r="S20" s="414">
        <v>740</v>
      </c>
      <c r="T20" s="412"/>
      <c r="U20" s="407"/>
      <c r="V20" s="408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</row>
    <row r="21" spans="1:37" s="47" customFormat="1" ht="18" thickBot="1">
      <c r="A21" s="57"/>
      <c r="B21" s="54">
        <v>16</v>
      </c>
      <c r="C21" s="420" t="s">
        <v>35</v>
      </c>
      <c r="D21" s="421"/>
      <c r="E21" s="421"/>
      <c r="F21" s="421"/>
      <c r="G21" s="421"/>
      <c r="H21" s="421"/>
      <c r="I21" s="421"/>
      <c r="J21" s="421"/>
      <c r="K21" s="421"/>
      <c r="L21" s="422" t="s">
        <v>36</v>
      </c>
      <c r="M21" s="421"/>
      <c r="N21" s="421"/>
      <c r="O21" s="421"/>
      <c r="P21" s="421"/>
      <c r="Q21" s="423">
        <v>52</v>
      </c>
      <c r="R21" s="421"/>
      <c r="S21" s="423">
        <v>711</v>
      </c>
      <c r="T21" s="421"/>
      <c r="U21" s="424"/>
      <c r="V21" s="425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</row>
    <row r="22" spans="1:37" s="47" customFormat="1" ht="18" customHeight="1" thickTop="1">
      <c r="A22" s="57"/>
      <c r="B22" s="53">
        <v>17</v>
      </c>
      <c r="C22" s="417" t="s">
        <v>37</v>
      </c>
      <c r="D22" s="418"/>
      <c r="E22" s="418"/>
      <c r="F22" s="418"/>
      <c r="G22" s="418"/>
      <c r="H22" s="418"/>
      <c r="I22" s="418"/>
      <c r="J22" s="418"/>
      <c r="K22" s="418"/>
      <c r="L22" s="413" t="s">
        <v>244</v>
      </c>
      <c r="M22" s="412"/>
      <c r="N22" s="412"/>
      <c r="O22" s="412"/>
      <c r="P22" s="412"/>
      <c r="Q22" s="419">
        <v>53</v>
      </c>
      <c r="R22" s="418"/>
      <c r="S22" s="419">
        <v>711</v>
      </c>
      <c r="T22" s="418"/>
      <c r="U22" s="415"/>
      <c r="V22" s="416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</row>
    <row r="23" spans="1:37" s="47" customFormat="1" ht="17.25" customHeight="1">
      <c r="A23" s="57"/>
      <c r="B23" s="50">
        <v>18</v>
      </c>
      <c r="C23" s="411" t="s">
        <v>222</v>
      </c>
      <c r="D23" s="412"/>
      <c r="E23" s="412"/>
      <c r="F23" s="412"/>
      <c r="G23" s="412"/>
      <c r="H23" s="412"/>
      <c r="I23" s="412"/>
      <c r="J23" s="412"/>
      <c r="K23" s="412"/>
      <c r="L23" s="413" t="s">
        <v>244</v>
      </c>
      <c r="M23" s="412"/>
      <c r="N23" s="412"/>
      <c r="O23" s="412"/>
      <c r="P23" s="412"/>
      <c r="Q23" s="414">
        <v>58</v>
      </c>
      <c r="R23" s="412"/>
      <c r="S23" s="414">
        <v>698</v>
      </c>
      <c r="T23" s="412"/>
      <c r="U23" s="407"/>
      <c r="V23" s="408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</row>
    <row r="24" spans="1:37" s="47" customFormat="1" ht="16.5">
      <c r="A24" s="57"/>
      <c r="B24" s="50">
        <v>19</v>
      </c>
      <c r="C24" s="411" t="s">
        <v>223</v>
      </c>
      <c r="D24" s="412"/>
      <c r="E24" s="412"/>
      <c r="F24" s="412"/>
      <c r="G24" s="412"/>
      <c r="H24" s="412"/>
      <c r="I24" s="412"/>
      <c r="J24" s="412"/>
      <c r="K24" s="412"/>
      <c r="L24" s="413" t="s">
        <v>38</v>
      </c>
      <c r="M24" s="412"/>
      <c r="N24" s="412"/>
      <c r="O24" s="412"/>
      <c r="P24" s="412"/>
      <c r="Q24" s="414">
        <v>59</v>
      </c>
      <c r="R24" s="412"/>
      <c r="S24" s="414">
        <v>697</v>
      </c>
      <c r="T24" s="412"/>
      <c r="U24" s="407"/>
      <c r="V24" s="408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</row>
    <row r="25" spans="1:37" s="46" customFormat="1" ht="16.5">
      <c r="A25" s="58"/>
      <c r="B25" s="50">
        <v>20</v>
      </c>
      <c r="C25" s="411" t="s">
        <v>224</v>
      </c>
      <c r="D25" s="412"/>
      <c r="E25" s="412"/>
      <c r="F25" s="412"/>
      <c r="G25" s="412"/>
      <c r="H25" s="412"/>
      <c r="I25" s="412"/>
      <c r="J25" s="412"/>
      <c r="K25" s="412"/>
      <c r="L25" s="413" t="s">
        <v>32</v>
      </c>
      <c r="M25" s="412"/>
      <c r="N25" s="412"/>
      <c r="O25" s="412"/>
      <c r="P25" s="412"/>
      <c r="Q25" s="414">
        <v>61</v>
      </c>
      <c r="R25" s="412"/>
      <c r="S25" s="414">
        <v>682</v>
      </c>
      <c r="T25" s="412"/>
      <c r="U25" s="407"/>
      <c r="V25" s="40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</row>
    <row r="26" spans="1:37" s="47" customFormat="1" ht="16.5">
      <c r="A26" s="57"/>
      <c r="B26" s="50">
        <v>21</v>
      </c>
      <c r="C26" s="411" t="s">
        <v>225</v>
      </c>
      <c r="D26" s="412"/>
      <c r="E26" s="412"/>
      <c r="F26" s="412"/>
      <c r="G26" s="412"/>
      <c r="H26" s="412"/>
      <c r="I26" s="412"/>
      <c r="J26" s="412"/>
      <c r="K26" s="412"/>
      <c r="L26" s="413" t="s">
        <v>246</v>
      </c>
      <c r="M26" s="412"/>
      <c r="N26" s="412"/>
      <c r="O26" s="412"/>
      <c r="P26" s="412"/>
      <c r="Q26" s="414">
        <v>63</v>
      </c>
      <c r="R26" s="412"/>
      <c r="S26" s="414">
        <v>680</v>
      </c>
      <c r="T26" s="412"/>
      <c r="U26" s="407"/>
      <c r="V26" s="408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</row>
    <row r="27" spans="1:37" s="47" customFormat="1" ht="16.5">
      <c r="A27" s="57"/>
      <c r="B27" s="50">
        <v>22</v>
      </c>
      <c r="C27" s="411" t="s">
        <v>226</v>
      </c>
      <c r="D27" s="412"/>
      <c r="E27" s="412"/>
      <c r="F27" s="412"/>
      <c r="G27" s="412"/>
      <c r="H27" s="412"/>
      <c r="I27" s="412"/>
      <c r="J27" s="412"/>
      <c r="K27" s="412"/>
      <c r="L27" s="413" t="s">
        <v>38</v>
      </c>
      <c r="M27" s="412"/>
      <c r="N27" s="412"/>
      <c r="O27" s="412"/>
      <c r="P27" s="412"/>
      <c r="Q27" s="414">
        <v>65</v>
      </c>
      <c r="R27" s="412"/>
      <c r="S27" s="414">
        <v>675</v>
      </c>
      <c r="T27" s="412"/>
      <c r="U27" s="407"/>
      <c r="V27" s="408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</row>
    <row r="28" spans="1:37" s="47" customFormat="1" ht="16.5">
      <c r="A28" s="57"/>
      <c r="B28" s="50">
        <v>23</v>
      </c>
      <c r="C28" s="411" t="s">
        <v>254</v>
      </c>
      <c r="D28" s="412"/>
      <c r="E28" s="412"/>
      <c r="F28" s="412"/>
      <c r="G28" s="412"/>
      <c r="H28" s="412"/>
      <c r="I28" s="412"/>
      <c r="J28" s="412"/>
      <c r="K28" s="412"/>
      <c r="L28" s="413" t="s">
        <v>34</v>
      </c>
      <c r="M28" s="412"/>
      <c r="N28" s="412"/>
      <c r="O28" s="412"/>
      <c r="P28" s="412"/>
      <c r="Q28" s="414">
        <v>67</v>
      </c>
      <c r="R28" s="412"/>
      <c r="S28" s="414">
        <v>667</v>
      </c>
      <c r="T28" s="412"/>
      <c r="U28" s="407"/>
      <c r="V28" s="408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</row>
    <row r="29" spans="1:37" s="47" customFormat="1" ht="16.5">
      <c r="A29" s="57"/>
      <c r="B29" s="50">
        <v>24</v>
      </c>
      <c r="C29" s="411" t="s">
        <v>227</v>
      </c>
      <c r="D29" s="412"/>
      <c r="E29" s="412"/>
      <c r="F29" s="412"/>
      <c r="G29" s="412"/>
      <c r="H29" s="412"/>
      <c r="I29" s="412"/>
      <c r="J29" s="412"/>
      <c r="K29" s="412"/>
      <c r="L29" s="413" t="s">
        <v>38</v>
      </c>
      <c r="M29" s="412"/>
      <c r="N29" s="412"/>
      <c r="O29" s="412"/>
      <c r="P29" s="412"/>
      <c r="Q29" s="414">
        <v>68</v>
      </c>
      <c r="R29" s="412"/>
      <c r="S29" s="414">
        <v>666</v>
      </c>
      <c r="T29" s="412"/>
      <c r="U29" s="407"/>
      <c r="V29" s="408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</row>
    <row r="30" spans="1:37" s="47" customFormat="1" ht="16.5">
      <c r="A30" s="57"/>
      <c r="B30" s="50">
        <v>25</v>
      </c>
      <c r="C30" s="411" t="s">
        <v>40</v>
      </c>
      <c r="D30" s="412"/>
      <c r="E30" s="412"/>
      <c r="F30" s="412"/>
      <c r="G30" s="412"/>
      <c r="H30" s="412"/>
      <c r="I30" s="412"/>
      <c r="J30" s="412"/>
      <c r="K30" s="412"/>
      <c r="L30" s="413" t="s">
        <v>29</v>
      </c>
      <c r="M30" s="412"/>
      <c r="N30" s="412"/>
      <c r="O30" s="412"/>
      <c r="P30" s="412"/>
      <c r="Q30" s="414">
        <v>69</v>
      </c>
      <c r="R30" s="412"/>
      <c r="S30" s="414">
        <v>664</v>
      </c>
      <c r="T30" s="412"/>
      <c r="U30" s="407"/>
      <c r="V30" s="408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</row>
    <row r="31" spans="1:37" s="47" customFormat="1" ht="16.5">
      <c r="A31" s="57"/>
      <c r="B31" s="50">
        <v>26</v>
      </c>
      <c r="C31" s="411" t="s">
        <v>41</v>
      </c>
      <c r="D31" s="412"/>
      <c r="E31" s="412"/>
      <c r="F31" s="412"/>
      <c r="G31" s="412"/>
      <c r="H31" s="412"/>
      <c r="I31" s="412"/>
      <c r="J31" s="412"/>
      <c r="K31" s="412"/>
      <c r="L31" s="413" t="s">
        <v>30</v>
      </c>
      <c r="M31" s="412"/>
      <c r="N31" s="412"/>
      <c r="O31" s="412"/>
      <c r="P31" s="412"/>
      <c r="Q31" s="414">
        <v>71</v>
      </c>
      <c r="R31" s="412"/>
      <c r="S31" s="414">
        <v>658</v>
      </c>
      <c r="T31" s="412"/>
      <c r="U31" s="407"/>
      <c r="V31" s="408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</row>
    <row r="32" spans="1:37" s="47" customFormat="1" ht="16.5">
      <c r="A32" s="57"/>
      <c r="B32" s="51">
        <v>27</v>
      </c>
      <c r="C32" s="411" t="s">
        <v>228</v>
      </c>
      <c r="D32" s="412"/>
      <c r="E32" s="412"/>
      <c r="F32" s="412"/>
      <c r="G32" s="412"/>
      <c r="H32" s="412"/>
      <c r="I32" s="412"/>
      <c r="J32" s="412"/>
      <c r="K32" s="412"/>
      <c r="L32" s="413" t="s">
        <v>30</v>
      </c>
      <c r="M32" s="412"/>
      <c r="N32" s="412"/>
      <c r="O32" s="412"/>
      <c r="P32" s="412"/>
      <c r="Q32" s="414">
        <v>72</v>
      </c>
      <c r="R32" s="412"/>
      <c r="S32" s="414">
        <v>646</v>
      </c>
      <c r="T32" s="412"/>
      <c r="U32" s="407"/>
      <c r="V32" s="408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</row>
    <row r="33" spans="1:37" s="47" customFormat="1" ht="16.5">
      <c r="A33" s="57"/>
      <c r="B33" s="51">
        <v>28</v>
      </c>
      <c r="C33" s="411" t="s">
        <v>42</v>
      </c>
      <c r="D33" s="412"/>
      <c r="E33" s="412"/>
      <c r="F33" s="412"/>
      <c r="G33" s="412"/>
      <c r="H33" s="412"/>
      <c r="I33" s="412"/>
      <c r="J33" s="412"/>
      <c r="K33" s="412"/>
      <c r="L33" s="413" t="s">
        <v>32</v>
      </c>
      <c r="M33" s="412"/>
      <c r="N33" s="412"/>
      <c r="O33" s="412"/>
      <c r="P33" s="412"/>
      <c r="Q33" s="414">
        <v>84</v>
      </c>
      <c r="R33" s="412"/>
      <c r="S33" s="414">
        <v>622</v>
      </c>
      <c r="T33" s="412"/>
      <c r="U33" s="407"/>
      <c r="V33" s="408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</row>
    <row r="34" spans="1:37" s="47" customFormat="1" ht="16.5">
      <c r="A34" s="57"/>
      <c r="B34" s="51">
        <v>29</v>
      </c>
      <c r="C34" s="411" t="s">
        <v>229</v>
      </c>
      <c r="D34" s="412"/>
      <c r="E34" s="412"/>
      <c r="F34" s="412"/>
      <c r="G34" s="412"/>
      <c r="H34" s="412"/>
      <c r="I34" s="412"/>
      <c r="J34" s="412"/>
      <c r="K34" s="412"/>
      <c r="L34" s="413" t="s">
        <v>26</v>
      </c>
      <c r="M34" s="412"/>
      <c r="N34" s="412"/>
      <c r="O34" s="412"/>
      <c r="P34" s="412"/>
      <c r="Q34" s="414">
        <v>89</v>
      </c>
      <c r="R34" s="412"/>
      <c r="S34" s="414">
        <v>615</v>
      </c>
      <c r="T34" s="412"/>
      <c r="U34" s="407"/>
      <c r="V34" s="408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</row>
    <row r="35" spans="1:37" s="47" customFormat="1" ht="16.5">
      <c r="A35" s="57"/>
      <c r="B35" s="51">
        <v>30</v>
      </c>
      <c r="C35" s="411" t="s">
        <v>43</v>
      </c>
      <c r="D35" s="412"/>
      <c r="E35" s="412"/>
      <c r="F35" s="412"/>
      <c r="G35" s="412"/>
      <c r="H35" s="412"/>
      <c r="I35" s="412"/>
      <c r="J35" s="412"/>
      <c r="K35" s="412"/>
      <c r="L35" s="413" t="s">
        <v>34</v>
      </c>
      <c r="M35" s="412"/>
      <c r="N35" s="412"/>
      <c r="O35" s="412"/>
      <c r="P35" s="412"/>
      <c r="Q35" s="414">
        <v>96</v>
      </c>
      <c r="R35" s="412"/>
      <c r="S35" s="414">
        <v>611</v>
      </c>
      <c r="T35" s="412"/>
      <c r="U35" s="407"/>
      <c r="V35" s="408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</row>
    <row r="36" spans="1:37" s="47" customFormat="1" ht="16.5">
      <c r="A36" s="57"/>
      <c r="B36" s="51">
        <v>31</v>
      </c>
      <c r="C36" s="411" t="s">
        <v>230</v>
      </c>
      <c r="D36" s="412"/>
      <c r="E36" s="412"/>
      <c r="F36" s="412"/>
      <c r="G36" s="412"/>
      <c r="H36" s="412"/>
      <c r="I36" s="412"/>
      <c r="J36" s="412"/>
      <c r="K36" s="412"/>
      <c r="L36" s="413" t="s">
        <v>260</v>
      </c>
      <c r="M36" s="412"/>
      <c r="N36" s="412"/>
      <c r="O36" s="412"/>
      <c r="P36" s="412"/>
      <c r="Q36" s="414">
        <v>100</v>
      </c>
      <c r="R36" s="412"/>
      <c r="S36" s="414">
        <v>584</v>
      </c>
      <c r="T36" s="412"/>
      <c r="U36" s="407"/>
      <c r="V36" s="408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</row>
    <row r="37" spans="1:37" s="47" customFormat="1" ht="16.5">
      <c r="A37" s="57"/>
      <c r="B37" s="51">
        <v>32</v>
      </c>
      <c r="C37" s="411" t="s">
        <v>44</v>
      </c>
      <c r="D37" s="412"/>
      <c r="E37" s="412"/>
      <c r="F37" s="412"/>
      <c r="G37" s="412"/>
      <c r="H37" s="412"/>
      <c r="I37" s="412"/>
      <c r="J37" s="412"/>
      <c r="K37" s="412"/>
      <c r="L37" s="413" t="s">
        <v>32</v>
      </c>
      <c r="M37" s="412"/>
      <c r="N37" s="412"/>
      <c r="O37" s="412"/>
      <c r="P37" s="412"/>
      <c r="Q37" s="414">
        <v>106</v>
      </c>
      <c r="R37" s="412"/>
      <c r="S37" s="414">
        <v>577</v>
      </c>
      <c r="T37" s="412"/>
      <c r="U37" s="407"/>
      <c r="V37" s="408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</row>
    <row r="38" spans="1:37" s="47" customFormat="1" ht="16.5">
      <c r="A38" s="57"/>
      <c r="B38" s="51">
        <v>33</v>
      </c>
      <c r="C38" s="411" t="s">
        <v>45</v>
      </c>
      <c r="D38" s="412"/>
      <c r="E38" s="412"/>
      <c r="F38" s="412"/>
      <c r="G38" s="412"/>
      <c r="H38" s="412"/>
      <c r="I38" s="412"/>
      <c r="J38" s="412"/>
      <c r="K38" s="412"/>
      <c r="L38" s="413" t="s">
        <v>250</v>
      </c>
      <c r="M38" s="412"/>
      <c r="N38" s="412"/>
      <c r="O38" s="412"/>
      <c r="P38" s="412"/>
      <c r="Q38" s="414">
        <v>107</v>
      </c>
      <c r="R38" s="412"/>
      <c r="S38" s="414">
        <v>577</v>
      </c>
      <c r="T38" s="412"/>
      <c r="U38" s="407"/>
      <c r="V38" s="408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</row>
    <row r="39" spans="1:37" s="47" customFormat="1" ht="16.5">
      <c r="A39" s="57"/>
      <c r="B39" s="51">
        <v>34</v>
      </c>
      <c r="C39" s="411" t="s">
        <v>46</v>
      </c>
      <c r="D39" s="412"/>
      <c r="E39" s="412"/>
      <c r="F39" s="412"/>
      <c r="G39" s="412"/>
      <c r="H39" s="412"/>
      <c r="I39" s="412"/>
      <c r="J39" s="412"/>
      <c r="K39" s="412"/>
      <c r="L39" s="413" t="s">
        <v>32</v>
      </c>
      <c r="M39" s="412"/>
      <c r="N39" s="412"/>
      <c r="O39" s="412"/>
      <c r="P39" s="412"/>
      <c r="Q39" s="414">
        <v>109</v>
      </c>
      <c r="R39" s="412"/>
      <c r="S39" s="414">
        <v>573</v>
      </c>
      <c r="T39" s="412"/>
      <c r="U39" s="407"/>
      <c r="V39" s="408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</row>
    <row r="40" spans="1:37" s="47" customFormat="1" ht="16.5">
      <c r="A40" s="57"/>
      <c r="B40" s="51">
        <v>35</v>
      </c>
      <c r="C40" s="411" t="s">
        <v>231</v>
      </c>
      <c r="D40" s="412"/>
      <c r="E40" s="412"/>
      <c r="F40" s="412"/>
      <c r="G40" s="412"/>
      <c r="H40" s="412"/>
      <c r="I40" s="412"/>
      <c r="J40" s="412"/>
      <c r="K40" s="412"/>
      <c r="L40" s="413" t="s">
        <v>34</v>
      </c>
      <c r="M40" s="412"/>
      <c r="N40" s="412"/>
      <c r="O40" s="412"/>
      <c r="P40" s="412"/>
      <c r="Q40" s="414">
        <v>111</v>
      </c>
      <c r="R40" s="412"/>
      <c r="S40" s="414">
        <v>571</v>
      </c>
      <c r="T40" s="412"/>
      <c r="U40" s="407"/>
      <c r="V40" s="408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</row>
    <row r="41" spans="1:37" s="47" customFormat="1" ht="16.5">
      <c r="A41" s="57"/>
      <c r="B41" s="51">
        <v>36</v>
      </c>
      <c r="C41" s="411" t="s">
        <v>47</v>
      </c>
      <c r="D41" s="412"/>
      <c r="E41" s="412"/>
      <c r="F41" s="412"/>
      <c r="G41" s="412"/>
      <c r="H41" s="412"/>
      <c r="I41" s="412"/>
      <c r="J41" s="412"/>
      <c r="K41" s="412"/>
      <c r="L41" s="413" t="s">
        <v>32</v>
      </c>
      <c r="M41" s="412"/>
      <c r="N41" s="412"/>
      <c r="O41" s="412"/>
      <c r="P41" s="412"/>
      <c r="Q41" s="414">
        <v>119</v>
      </c>
      <c r="R41" s="412"/>
      <c r="S41" s="414">
        <v>554</v>
      </c>
      <c r="T41" s="412"/>
      <c r="U41" s="407"/>
      <c r="V41" s="408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</row>
    <row r="42" spans="1:37" s="47" customFormat="1" ht="16.5">
      <c r="A42" s="57"/>
      <c r="B42" s="51">
        <v>37</v>
      </c>
      <c r="C42" s="411" t="s">
        <v>232</v>
      </c>
      <c r="D42" s="412"/>
      <c r="E42" s="412"/>
      <c r="F42" s="412"/>
      <c r="G42" s="412"/>
      <c r="H42" s="412"/>
      <c r="I42" s="412"/>
      <c r="J42" s="412"/>
      <c r="K42" s="412"/>
      <c r="L42" s="413" t="s">
        <v>27</v>
      </c>
      <c r="M42" s="412"/>
      <c r="N42" s="412"/>
      <c r="O42" s="412"/>
      <c r="P42" s="412"/>
      <c r="Q42" s="414">
        <v>125</v>
      </c>
      <c r="R42" s="412"/>
      <c r="S42" s="414">
        <v>544</v>
      </c>
      <c r="T42" s="412"/>
      <c r="U42" s="407"/>
      <c r="V42" s="408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</row>
    <row r="43" spans="1:37" s="47" customFormat="1" ht="16.5">
      <c r="A43" s="57"/>
      <c r="B43" s="50">
        <v>38</v>
      </c>
      <c r="C43" s="411" t="s">
        <v>233</v>
      </c>
      <c r="D43" s="412"/>
      <c r="E43" s="412"/>
      <c r="F43" s="412"/>
      <c r="G43" s="412"/>
      <c r="H43" s="412"/>
      <c r="I43" s="412"/>
      <c r="J43" s="412"/>
      <c r="K43" s="412"/>
      <c r="L43" s="413" t="s">
        <v>34</v>
      </c>
      <c r="M43" s="412"/>
      <c r="N43" s="412"/>
      <c r="O43" s="412"/>
      <c r="P43" s="412"/>
      <c r="Q43" s="414">
        <v>130</v>
      </c>
      <c r="R43" s="412"/>
      <c r="S43" s="414">
        <v>538</v>
      </c>
      <c r="T43" s="412"/>
      <c r="U43" s="407"/>
      <c r="V43" s="408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</row>
    <row r="44" spans="1:37" s="47" customFormat="1" ht="16.5">
      <c r="A44" s="57"/>
      <c r="B44" s="51">
        <v>39</v>
      </c>
      <c r="C44" s="411" t="s">
        <v>48</v>
      </c>
      <c r="D44" s="412"/>
      <c r="E44" s="412"/>
      <c r="F44" s="412"/>
      <c r="G44" s="412"/>
      <c r="H44" s="412"/>
      <c r="I44" s="412"/>
      <c r="J44" s="412"/>
      <c r="K44" s="412"/>
      <c r="L44" s="413" t="s">
        <v>244</v>
      </c>
      <c r="M44" s="412"/>
      <c r="N44" s="412"/>
      <c r="O44" s="412"/>
      <c r="P44" s="412"/>
      <c r="Q44" s="414">
        <v>131</v>
      </c>
      <c r="R44" s="412"/>
      <c r="S44" s="414">
        <v>537</v>
      </c>
      <c r="T44" s="412"/>
      <c r="U44" s="407"/>
      <c r="V44" s="408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</row>
    <row r="45" spans="1:37" s="47" customFormat="1" ht="16.5">
      <c r="A45" s="57"/>
      <c r="B45" s="50">
        <v>40</v>
      </c>
      <c r="C45" s="411" t="s">
        <v>234</v>
      </c>
      <c r="D45" s="412"/>
      <c r="E45" s="412"/>
      <c r="F45" s="412"/>
      <c r="G45" s="412"/>
      <c r="H45" s="412"/>
      <c r="I45" s="412"/>
      <c r="J45" s="412"/>
      <c r="K45" s="412"/>
      <c r="L45" s="413" t="s">
        <v>32</v>
      </c>
      <c r="M45" s="412"/>
      <c r="N45" s="412"/>
      <c r="O45" s="412"/>
      <c r="P45" s="412"/>
      <c r="Q45" s="414">
        <v>132</v>
      </c>
      <c r="R45" s="412"/>
      <c r="S45" s="414">
        <v>537</v>
      </c>
      <c r="T45" s="412"/>
      <c r="U45" s="407"/>
      <c r="V45" s="408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</row>
    <row r="46" spans="1:37" s="47" customFormat="1" ht="17.25" customHeight="1">
      <c r="A46" s="57"/>
      <c r="B46" s="50">
        <v>41</v>
      </c>
      <c r="C46" s="411" t="s">
        <v>235</v>
      </c>
      <c r="D46" s="412"/>
      <c r="E46" s="412"/>
      <c r="F46" s="412"/>
      <c r="G46" s="412"/>
      <c r="H46" s="412"/>
      <c r="I46" s="412"/>
      <c r="J46" s="412"/>
      <c r="K46" s="412"/>
      <c r="L46" s="413" t="s">
        <v>244</v>
      </c>
      <c r="M46" s="412"/>
      <c r="N46" s="412"/>
      <c r="O46" s="412"/>
      <c r="P46" s="412"/>
      <c r="Q46" s="414">
        <v>137</v>
      </c>
      <c r="R46" s="412"/>
      <c r="S46" s="414">
        <v>530</v>
      </c>
      <c r="T46" s="412"/>
      <c r="U46" s="407"/>
      <c r="V46" s="408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</row>
    <row r="47" spans="1:37" s="47" customFormat="1" ht="16.5">
      <c r="A47" s="57"/>
      <c r="B47" s="50">
        <v>42</v>
      </c>
      <c r="C47" s="411" t="s">
        <v>236</v>
      </c>
      <c r="D47" s="412"/>
      <c r="E47" s="412"/>
      <c r="F47" s="412"/>
      <c r="G47" s="412"/>
      <c r="H47" s="412"/>
      <c r="I47" s="412"/>
      <c r="J47" s="412"/>
      <c r="K47" s="412"/>
      <c r="L47" s="413" t="s">
        <v>29</v>
      </c>
      <c r="M47" s="412"/>
      <c r="N47" s="412"/>
      <c r="O47" s="412"/>
      <c r="P47" s="412"/>
      <c r="Q47" s="414">
        <v>139</v>
      </c>
      <c r="R47" s="412"/>
      <c r="S47" s="414">
        <v>525</v>
      </c>
      <c r="T47" s="412"/>
      <c r="U47" s="407"/>
      <c r="V47" s="408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</row>
    <row r="48" spans="1:37" s="47" customFormat="1" ht="16.5">
      <c r="A48" s="57"/>
      <c r="B48" s="50">
        <v>43</v>
      </c>
      <c r="C48" s="411" t="s">
        <v>237</v>
      </c>
      <c r="D48" s="412"/>
      <c r="E48" s="412"/>
      <c r="F48" s="412"/>
      <c r="G48" s="412"/>
      <c r="H48" s="412"/>
      <c r="I48" s="412"/>
      <c r="J48" s="412"/>
      <c r="K48" s="412"/>
      <c r="L48" s="413" t="s">
        <v>32</v>
      </c>
      <c r="M48" s="412"/>
      <c r="N48" s="412"/>
      <c r="O48" s="412"/>
      <c r="P48" s="412"/>
      <c r="Q48" s="414">
        <v>141</v>
      </c>
      <c r="R48" s="412"/>
      <c r="S48" s="414">
        <v>524</v>
      </c>
      <c r="T48" s="412"/>
      <c r="U48" s="407"/>
      <c r="V48" s="408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</row>
    <row r="49" spans="1:37" s="47" customFormat="1" ht="16.5">
      <c r="A49" s="57"/>
      <c r="B49" s="50">
        <v>44</v>
      </c>
      <c r="C49" s="411" t="s">
        <v>49</v>
      </c>
      <c r="D49" s="412"/>
      <c r="E49" s="412"/>
      <c r="F49" s="412"/>
      <c r="G49" s="412"/>
      <c r="H49" s="412"/>
      <c r="I49" s="412"/>
      <c r="J49" s="412"/>
      <c r="K49" s="412"/>
      <c r="L49" s="413" t="s">
        <v>261</v>
      </c>
      <c r="M49" s="412"/>
      <c r="N49" s="412"/>
      <c r="O49" s="412"/>
      <c r="P49" s="412"/>
      <c r="Q49" s="414">
        <v>152</v>
      </c>
      <c r="R49" s="412"/>
      <c r="S49" s="414">
        <v>515</v>
      </c>
      <c r="T49" s="412"/>
      <c r="U49" s="407"/>
      <c r="V49" s="408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</row>
    <row r="50" spans="1:37" s="47" customFormat="1" ht="17.25" customHeight="1">
      <c r="A50" s="57"/>
      <c r="B50" s="51">
        <v>45</v>
      </c>
      <c r="C50" s="411" t="s">
        <v>255</v>
      </c>
      <c r="D50" s="412"/>
      <c r="E50" s="412"/>
      <c r="F50" s="412"/>
      <c r="G50" s="412"/>
      <c r="H50" s="412"/>
      <c r="I50" s="412"/>
      <c r="J50" s="412"/>
      <c r="K50" s="412"/>
      <c r="L50" s="413" t="s">
        <v>244</v>
      </c>
      <c r="M50" s="412"/>
      <c r="N50" s="412"/>
      <c r="O50" s="412"/>
      <c r="P50" s="412"/>
      <c r="Q50" s="414">
        <v>160</v>
      </c>
      <c r="R50" s="412"/>
      <c r="S50" s="414">
        <v>507</v>
      </c>
      <c r="T50" s="412"/>
      <c r="U50" s="407"/>
      <c r="V50" s="408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</row>
    <row r="51" spans="1:37" s="47" customFormat="1" ht="16.5">
      <c r="A51" s="57"/>
      <c r="B51" s="51">
        <v>46</v>
      </c>
      <c r="C51" s="411" t="s">
        <v>256</v>
      </c>
      <c r="D51" s="412"/>
      <c r="E51" s="412"/>
      <c r="F51" s="412"/>
      <c r="G51" s="412"/>
      <c r="H51" s="412"/>
      <c r="I51" s="412"/>
      <c r="J51" s="412"/>
      <c r="K51" s="412"/>
      <c r="L51" s="413" t="s">
        <v>30</v>
      </c>
      <c r="M51" s="412"/>
      <c r="N51" s="412"/>
      <c r="O51" s="412"/>
      <c r="P51" s="412"/>
      <c r="Q51" s="414">
        <v>339</v>
      </c>
      <c r="R51" s="412"/>
      <c r="S51" s="414">
        <v>500</v>
      </c>
      <c r="T51" s="412"/>
      <c r="U51" s="407"/>
      <c r="V51" s="408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</row>
    <row r="52" spans="1:37" s="47" customFormat="1" ht="18" customHeight="1">
      <c r="A52" s="57"/>
      <c r="B52" s="51">
        <v>47</v>
      </c>
      <c r="C52" s="411" t="s">
        <v>238</v>
      </c>
      <c r="D52" s="412"/>
      <c r="E52" s="412"/>
      <c r="F52" s="412"/>
      <c r="G52" s="412"/>
      <c r="H52" s="412"/>
      <c r="I52" s="412"/>
      <c r="J52" s="412"/>
      <c r="K52" s="412"/>
      <c r="L52" s="413" t="s">
        <v>32</v>
      </c>
      <c r="M52" s="412"/>
      <c r="N52" s="412"/>
      <c r="O52" s="412"/>
      <c r="P52" s="412"/>
      <c r="Q52" s="414"/>
      <c r="R52" s="412"/>
      <c r="S52" s="414">
        <v>500</v>
      </c>
      <c r="T52" s="412"/>
      <c r="U52" s="407"/>
      <c r="V52" s="408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</row>
    <row r="53" spans="1:37" s="47" customFormat="1" ht="16.5">
      <c r="A53" s="57"/>
      <c r="B53" s="50">
        <v>48</v>
      </c>
      <c r="C53" s="411" t="s">
        <v>52</v>
      </c>
      <c r="D53" s="412"/>
      <c r="E53" s="412"/>
      <c r="F53" s="412"/>
      <c r="G53" s="412"/>
      <c r="H53" s="412"/>
      <c r="I53" s="412"/>
      <c r="J53" s="412"/>
      <c r="K53" s="412"/>
      <c r="L53" s="413" t="s">
        <v>29</v>
      </c>
      <c r="M53" s="412"/>
      <c r="N53" s="412"/>
      <c r="O53" s="412"/>
      <c r="P53" s="412"/>
      <c r="Q53" s="414">
        <v>347</v>
      </c>
      <c r="R53" s="412"/>
      <c r="S53" s="414">
        <v>484</v>
      </c>
      <c r="T53" s="412"/>
      <c r="U53" s="407"/>
      <c r="V53" s="408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</row>
    <row r="54" spans="1:37" s="47" customFormat="1" ht="17.25" customHeight="1">
      <c r="A54" s="57"/>
      <c r="B54" s="51">
        <v>49</v>
      </c>
      <c r="C54" s="411" t="s">
        <v>53</v>
      </c>
      <c r="D54" s="412"/>
      <c r="E54" s="412"/>
      <c r="F54" s="412"/>
      <c r="G54" s="412"/>
      <c r="H54" s="412"/>
      <c r="I54" s="412"/>
      <c r="J54" s="412"/>
      <c r="K54" s="412"/>
      <c r="L54" s="413" t="s">
        <v>244</v>
      </c>
      <c r="M54" s="412"/>
      <c r="N54" s="412"/>
      <c r="O54" s="412"/>
      <c r="P54" s="412"/>
      <c r="Q54" s="414">
        <v>173</v>
      </c>
      <c r="R54" s="412"/>
      <c r="S54" s="414">
        <v>479</v>
      </c>
      <c r="T54" s="412"/>
      <c r="U54" s="407"/>
      <c r="V54" s="408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</row>
    <row r="55" spans="1:37" s="47" customFormat="1" ht="17.25" customHeight="1">
      <c r="A55" s="57"/>
      <c r="B55" s="51">
        <v>50</v>
      </c>
      <c r="C55" s="411" t="s">
        <v>54</v>
      </c>
      <c r="D55" s="412"/>
      <c r="E55" s="412"/>
      <c r="F55" s="412"/>
      <c r="G55" s="412"/>
      <c r="H55" s="412"/>
      <c r="I55" s="412"/>
      <c r="J55" s="412"/>
      <c r="K55" s="412"/>
      <c r="L55" s="413" t="s">
        <v>244</v>
      </c>
      <c r="M55" s="412"/>
      <c r="N55" s="412"/>
      <c r="O55" s="412"/>
      <c r="P55" s="412"/>
      <c r="Q55" s="414">
        <v>174</v>
      </c>
      <c r="R55" s="412"/>
      <c r="S55" s="414">
        <v>479</v>
      </c>
      <c r="T55" s="412"/>
      <c r="U55" s="407"/>
      <c r="V55" s="408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</row>
    <row r="56" spans="1:37" s="47" customFormat="1" ht="16.5">
      <c r="A56" s="57"/>
      <c r="B56" s="51">
        <v>51</v>
      </c>
      <c r="C56" s="411" t="s">
        <v>55</v>
      </c>
      <c r="D56" s="412"/>
      <c r="E56" s="412"/>
      <c r="F56" s="412"/>
      <c r="G56" s="412"/>
      <c r="H56" s="412"/>
      <c r="I56" s="412"/>
      <c r="J56" s="412"/>
      <c r="K56" s="412"/>
      <c r="L56" s="413" t="s">
        <v>34</v>
      </c>
      <c r="M56" s="412"/>
      <c r="N56" s="412"/>
      <c r="O56" s="412"/>
      <c r="P56" s="412"/>
      <c r="Q56" s="414">
        <v>357</v>
      </c>
      <c r="R56" s="412"/>
      <c r="S56" s="414">
        <v>457</v>
      </c>
      <c r="T56" s="412"/>
      <c r="U56" s="407"/>
      <c r="V56" s="408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</row>
    <row r="57" spans="1:37" s="47" customFormat="1" ht="16.5">
      <c r="A57" s="57"/>
      <c r="B57" s="51">
        <v>52</v>
      </c>
      <c r="C57" s="411" t="s">
        <v>56</v>
      </c>
      <c r="D57" s="412"/>
      <c r="E57" s="412"/>
      <c r="F57" s="412"/>
      <c r="G57" s="412"/>
      <c r="H57" s="412"/>
      <c r="I57" s="412"/>
      <c r="J57" s="412"/>
      <c r="K57" s="412"/>
      <c r="L57" s="413" t="s">
        <v>21</v>
      </c>
      <c r="M57" s="412"/>
      <c r="N57" s="412"/>
      <c r="O57" s="412"/>
      <c r="P57" s="412"/>
      <c r="Q57" s="414">
        <v>214</v>
      </c>
      <c r="R57" s="412"/>
      <c r="S57" s="414">
        <v>438</v>
      </c>
      <c r="T57" s="412"/>
      <c r="U57" s="407"/>
      <c r="V57" s="408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</row>
    <row r="58" spans="1:37" s="47" customFormat="1" ht="16.5">
      <c r="A58" s="57"/>
      <c r="B58" s="51">
        <v>53</v>
      </c>
      <c r="C58" s="411" t="s">
        <v>57</v>
      </c>
      <c r="D58" s="412"/>
      <c r="E58" s="412"/>
      <c r="F58" s="412"/>
      <c r="G58" s="412"/>
      <c r="H58" s="412"/>
      <c r="I58" s="412"/>
      <c r="J58" s="412"/>
      <c r="K58" s="412"/>
      <c r="L58" s="413" t="s">
        <v>249</v>
      </c>
      <c r="M58" s="412"/>
      <c r="N58" s="412"/>
      <c r="O58" s="412"/>
      <c r="P58" s="412"/>
      <c r="Q58" s="414">
        <v>222</v>
      </c>
      <c r="R58" s="412"/>
      <c r="S58" s="414">
        <v>433</v>
      </c>
      <c r="T58" s="412"/>
      <c r="U58" s="407"/>
      <c r="V58" s="408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</row>
    <row r="59" spans="1:37" s="47" customFormat="1" ht="17.25" customHeight="1">
      <c r="A59" s="57"/>
      <c r="B59" s="51">
        <v>54</v>
      </c>
      <c r="C59" s="411" t="s">
        <v>58</v>
      </c>
      <c r="D59" s="412"/>
      <c r="E59" s="412"/>
      <c r="F59" s="412"/>
      <c r="G59" s="412"/>
      <c r="H59" s="412"/>
      <c r="I59" s="412"/>
      <c r="J59" s="412"/>
      <c r="K59" s="412"/>
      <c r="L59" s="413" t="s">
        <v>244</v>
      </c>
      <c r="M59" s="412"/>
      <c r="N59" s="412"/>
      <c r="O59" s="412"/>
      <c r="P59" s="412"/>
      <c r="Q59" s="414">
        <v>211</v>
      </c>
      <c r="R59" s="412"/>
      <c r="S59" s="414">
        <v>429</v>
      </c>
      <c r="T59" s="412"/>
      <c r="U59" s="407"/>
      <c r="V59" s="408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</row>
    <row r="60" spans="1:37" s="47" customFormat="1" ht="16.5">
      <c r="A60" s="57"/>
      <c r="B60" s="51">
        <v>55</v>
      </c>
      <c r="C60" s="411" t="s">
        <v>59</v>
      </c>
      <c r="D60" s="412"/>
      <c r="E60" s="412"/>
      <c r="F60" s="412"/>
      <c r="G60" s="412"/>
      <c r="H60" s="412"/>
      <c r="I60" s="412"/>
      <c r="J60" s="412"/>
      <c r="K60" s="412"/>
      <c r="L60" s="413" t="s">
        <v>29</v>
      </c>
      <c r="M60" s="412"/>
      <c r="N60" s="412"/>
      <c r="O60" s="412"/>
      <c r="P60" s="412"/>
      <c r="Q60" s="414">
        <v>235</v>
      </c>
      <c r="R60" s="412"/>
      <c r="S60" s="414">
        <v>420</v>
      </c>
      <c r="T60" s="412"/>
      <c r="U60" s="407"/>
      <c r="V60" s="408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</row>
    <row r="61" spans="1:37" s="47" customFormat="1" ht="16.5">
      <c r="A61" s="57"/>
      <c r="B61" s="51">
        <v>56</v>
      </c>
      <c r="C61" s="411" t="s">
        <v>60</v>
      </c>
      <c r="D61" s="412"/>
      <c r="E61" s="412"/>
      <c r="F61" s="412"/>
      <c r="G61" s="412"/>
      <c r="H61" s="412"/>
      <c r="I61" s="412"/>
      <c r="J61" s="412"/>
      <c r="K61" s="412"/>
      <c r="L61" s="413" t="s">
        <v>244</v>
      </c>
      <c r="M61" s="412"/>
      <c r="N61" s="412"/>
      <c r="O61" s="412"/>
      <c r="P61" s="412"/>
      <c r="Q61" s="414"/>
      <c r="R61" s="412"/>
      <c r="S61" s="414">
        <v>400</v>
      </c>
      <c r="T61" s="412"/>
      <c r="U61" s="407"/>
      <c r="V61" s="408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</row>
    <row r="62" spans="1:37" s="47" customFormat="1" ht="16.5">
      <c r="A62" s="57"/>
      <c r="B62" s="51">
        <v>57</v>
      </c>
      <c r="C62" s="411" t="s">
        <v>239</v>
      </c>
      <c r="D62" s="412"/>
      <c r="E62" s="412"/>
      <c r="F62" s="412"/>
      <c r="G62" s="412"/>
      <c r="H62" s="412"/>
      <c r="I62" s="412"/>
      <c r="J62" s="412"/>
      <c r="K62" s="412"/>
      <c r="L62" s="413" t="s">
        <v>244</v>
      </c>
      <c r="M62" s="412"/>
      <c r="N62" s="412"/>
      <c r="O62" s="412"/>
      <c r="P62" s="412"/>
      <c r="Q62" s="414"/>
      <c r="R62" s="412"/>
      <c r="S62" s="414">
        <v>400</v>
      </c>
      <c r="T62" s="412"/>
      <c r="U62" s="407"/>
      <c r="V62" s="408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</row>
    <row r="63" spans="1:37" s="47" customFormat="1" ht="16.5">
      <c r="A63" s="57"/>
      <c r="B63" s="51">
        <v>58</v>
      </c>
      <c r="C63" s="411" t="s">
        <v>240</v>
      </c>
      <c r="D63" s="412"/>
      <c r="E63" s="412"/>
      <c r="F63" s="412"/>
      <c r="G63" s="412"/>
      <c r="H63" s="412"/>
      <c r="I63" s="412"/>
      <c r="J63" s="412"/>
      <c r="K63" s="412"/>
      <c r="L63" s="413" t="s">
        <v>21</v>
      </c>
      <c r="M63" s="412"/>
      <c r="N63" s="412"/>
      <c r="O63" s="412"/>
      <c r="P63" s="412"/>
      <c r="Q63" s="414">
        <v>390</v>
      </c>
      <c r="R63" s="412"/>
      <c r="S63" s="414">
        <v>374</v>
      </c>
      <c r="T63" s="412"/>
      <c r="U63" s="407"/>
      <c r="V63" s="408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</row>
    <row r="64" spans="1:37" s="47" customFormat="1" ht="16.5">
      <c r="A64" s="57"/>
      <c r="B64" s="51">
        <v>59</v>
      </c>
      <c r="C64" s="411" t="s">
        <v>241</v>
      </c>
      <c r="D64" s="412"/>
      <c r="E64" s="412"/>
      <c r="F64" s="412"/>
      <c r="G64" s="412"/>
      <c r="H64" s="412"/>
      <c r="I64" s="412"/>
      <c r="J64" s="412"/>
      <c r="K64" s="412"/>
      <c r="L64" s="413" t="s">
        <v>36</v>
      </c>
      <c r="M64" s="412"/>
      <c r="N64" s="412"/>
      <c r="O64" s="412"/>
      <c r="P64" s="412"/>
      <c r="Q64" s="414">
        <v>254</v>
      </c>
      <c r="R64" s="412"/>
      <c r="S64" s="414">
        <v>367</v>
      </c>
      <c r="T64" s="412"/>
      <c r="U64" s="407"/>
      <c r="V64" s="408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</row>
    <row r="65" spans="1:37" s="47" customFormat="1" ht="16.5">
      <c r="A65" s="57"/>
      <c r="B65" s="51">
        <v>60</v>
      </c>
      <c r="C65" s="411" t="s">
        <v>242</v>
      </c>
      <c r="D65" s="412"/>
      <c r="E65" s="412"/>
      <c r="F65" s="412"/>
      <c r="G65" s="412"/>
      <c r="H65" s="412"/>
      <c r="I65" s="412"/>
      <c r="J65" s="412"/>
      <c r="K65" s="412"/>
      <c r="L65" s="413" t="s">
        <v>32</v>
      </c>
      <c r="M65" s="412"/>
      <c r="N65" s="412"/>
      <c r="O65" s="412"/>
      <c r="P65" s="412"/>
      <c r="Q65" s="414">
        <v>394</v>
      </c>
      <c r="R65" s="412"/>
      <c r="S65" s="414">
        <v>361</v>
      </c>
      <c r="T65" s="412"/>
      <c r="U65" s="407"/>
      <c r="V65" s="408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</row>
    <row r="66" spans="1:37" s="47" customFormat="1" ht="16.5">
      <c r="A66" s="57"/>
      <c r="B66" s="51">
        <v>61</v>
      </c>
      <c r="C66" s="411" t="s">
        <v>243</v>
      </c>
      <c r="D66" s="412"/>
      <c r="E66" s="412"/>
      <c r="F66" s="412"/>
      <c r="G66" s="412"/>
      <c r="H66" s="412"/>
      <c r="I66" s="412"/>
      <c r="J66" s="412"/>
      <c r="K66" s="412"/>
      <c r="L66" s="413" t="s">
        <v>29</v>
      </c>
      <c r="M66" s="412"/>
      <c r="N66" s="412"/>
      <c r="O66" s="412"/>
      <c r="P66" s="412"/>
      <c r="Q66" s="414">
        <v>278</v>
      </c>
      <c r="R66" s="412"/>
      <c r="S66" s="414">
        <v>359</v>
      </c>
      <c r="T66" s="412"/>
      <c r="U66" s="407"/>
      <c r="V66" s="408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</row>
    <row r="67" spans="1:37" s="47" customFormat="1" ht="16.5">
      <c r="A67" s="57"/>
      <c r="B67" s="51">
        <v>62</v>
      </c>
      <c r="C67" s="411" t="s">
        <v>257</v>
      </c>
      <c r="D67" s="412"/>
      <c r="E67" s="412"/>
      <c r="F67" s="412"/>
      <c r="G67" s="412"/>
      <c r="H67" s="412"/>
      <c r="I67" s="412"/>
      <c r="J67" s="412"/>
      <c r="K67" s="412"/>
      <c r="L67" s="413" t="s">
        <v>29</v>
      </c>
      <c r="M67" s="412"/>
      <c r="N67" s="412"/>
      <c r="O67" s="412"/>
      <c r="P67" s="412"/>
      <c r="Q67" s="414">
        <v>443</v>
      </c>
      <c r="R67" s="412"/>
      <c r="S67" s="414">
        <v>339</v>
      </c>
      <c r="T67" s="412"/>
      <c r="U67" s="407"/>
      <c r="V67" s="408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</row>
    <row r="68" spans="1:37" s="47" customFormat="1" ht="16.5">
      <c r="A68" s="57"/>
      <c r="B68" s="50">
        <v>63</v>
      </c>
      <c r="C68" s="411" t="s">
        <v>62</v>
      </c>
      <c r="D68" s="412"/>
      <c r="E68" s="412"/>
      <c r="F68" s="412"/>
      <c r="G68" s="412"/>
      <c r="H68" s="412"/>
      <c r="I68" s="412"/>
      <c r="J68" s="412"/>
      <c r="K68" s="412"/>
      <c r="L68" s="413" t="s">
        <v>27</v>
      </c>
      <c r="M68" s="412"/>
      <c r="N68" s="412"/>
      <c r="O68" s="412"/>
      <c r="P68" s="412"/>
      <c r="Q68" s="414">
        <v>415</v>
      </c>
      <c r="R68" s="412"/>
      <c r="S68" s="414">
        <v>315</v>
      </c>
      <c r="T68" s="412"/>
      <c r="U68" s="407"/>
      <c r="V68" s="408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</row>
    <row r="69" spans="1:37" s="47" customFormat="1" ht="18" thickBot="1">
      <c r="A69" s="57"/>
      <c r="B69" s="52">
        <v>64</v>
      </c>
      <c r="C69" s="420" t="s">
        <v>63</v>
      </c>
      <c r="D69" s="421"/>
      <c r="E69" s="421"/>
      <c r="F69" s="421"/>
      <c r="G69" s="421"/>
      <c r="H69" s="421"/>
      <c r="I69" s="421"/>
      <c r="J69" s="421"/>
      <c r="K69" s="421"/>
      <c r="L69" s="422" t="s">
        <v>247</v>
      </c>
      <c r="M69" s="421"/>
      <c r="N69" s="421"/>
      <c r="O69" s="421"/>
      <c r="P69" s="421"/>
      <c r="Q69" s="423">
        <v>419</v>
      </c>
      <c r="R69" s="421"/>
      <c r="S69" s="423">
        <v>309</v>
      </c>
      <c r="T69" s="421"/>
      <c r="U69" s="424"/>
      <c r="V69" s="425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</row>
    <row r="70" spans="1:37" ht="12.75" thickTop="1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</row>
    <row r="71" spans="1:37" ht="12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</row>
    <row r="72" spans="1:37" ht="12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</row>
    <row r="73" spans="1:37" ht="12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</row>
    <row r="74" spans="1:37" ht="12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</row>
    <row r="75" spans="1:37" ht="12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</row>
    <row r="76" spans="1:37" ht="12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</row>
    <row r="77" spans="1:37" ht="12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</row>
    <row r="78" spans="1:37" ht="12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</row>
    <row r="79" spans="1:37" ht="12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</row>
    <row r="80" spans="1:37" ht="12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</row>
    <row r="81" spans="1:37" ht="12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</row>
    <row r="82" spans="1:37" ht="12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</row>
    <row r="83" spans="1:37" ht="12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</row>
    <row r="84" spans="1:37" ht="12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</row>
    <row r="85" spans="1:37" ht="12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</row>
    <row r="86" spans="1:37" ht="12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</row>
    <row r="87" spans="1:37" ht="12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</row>
    <row r="88" spans="1:37" ht="12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</row>
    <row r="89" spans="1:37" ht="12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</row>
    <row r="90" spans="1:37" ht="12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</row>
    <row r="91" spans="1:37" ht="12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</row>
    <row r="92" spans="1:37" ht="12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</row>
    <row r="93" spans="1:37" ht="12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</row>
    <row r="94" spans="1:37" ht="12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</row>
    <row r="95" spans="1:37" ht="12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</row>
    <row r="96" spans="1:37" ht="12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</row>
    <row r="97" spans="1:37" ht="12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</row>
    <row r="98" spans="1:37" ht="12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</row>
    <row r="99" spans="1:37" ht="12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</row>
    <row r="100" spans="1:37" ht="12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</row>
    <row r="101" spans="1:23" ht="12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</row>
  </sheetData>
  <sheetProtection/>
  <mergeCells count="327">
    <mergeCell ref="C68:K68"/>
    <mergeCell ref="L68:P68"/>
    <mergeCell ref="Q68:R68"/>
    <mergeCell ref="S68:T68"/>
    <mergeCell ref="U68:V68"/>
    <mergeCell ref="U69:V69"/>
    <mergeCell ref="C69:K69"/>
    <mergeCell ref="L69:P69"/>
    <mergeCell ref="Q69:R69"/>
    <mergeCell ref="S69:T69"/>
    <mergeCell ref="U66:V66"/>
    <mergeCell ref="C67:K67"/>
    <mergeCell ref="L67:P67"/>
    <mergeCell ref="Q67:R67"/>
    <mergeCell ref="S67:T67"/>
    <mergeCell ref="C66:K66"/>
    <mergeCell ref="L66:P66"/>
    <mergeCell ref="Q66:R66"/>
    <mergeCell ref="S66:T66"/>
    <mergeCell ref="U67:V67"/>
    <mergeCell ref="U64:V64"/>
    <mergeCell ref="C65:K65"/>
    <mergeCell ref="L65:P65"/>
    <mergeCell ref="Q65:R65"/>
    <mergeCell ref="S65:T65"/>
    <mergeCell ref="U65:V65"/>
    <mergeCell ref="C64:K64"/>
    <mergeCell ref="L64:P64"/>
    <mergeCell ref="Q64:R64"/>
    <mergeCell ref="S64:T64"/>
    <mergeCell ref="U62:V62"/>
    <mergeCell ref="C63:K63"/>
    <mergeCell ref="L63:P63"/>
    <mergeCell ref="Q63:R63"/>
    <mergeCell ref="S63:T63"/>
    <mergeCell ref="U63:V63"/>
    <mergeCell ref="C62:K62"/>
    <mergeCell ref="L62:P62"/>
    <mergeCell ref="Q62:R62"/>
    <mergeCell ref="S62:T62"/>
    <mergeCell ref="U60:V60"/>
    <mergeCell ref="C61:K61"/>
    <mergeCell ref="L61:P61"/>
    <mergeCell ref="Q61:R61"/>
    <mergeCell ref="S61:T61"/>
    <mergeCell ref="U61:V61"/>
    <mergeCell ref="C60:K60"/>
    <mergeCell ref="L60:P60"/>
    <mergeCell ref="Q60:R60"/>
    <mergeCell ref="S60:T60"/>
    <mergeCell ref="U58:V58"/>
    <mergeCell ref="C59:K59"/>
    <mergeCell ref="L59:P59"/>
    <mergeCell ref="Q59:R59"/>
    <mergeCell ref="S59:T59"/>
    <mergeCell ref="U59:V59"/>
    <mergeCell ref="C58:K58"/>
    <mergeCell ref="L58:P58"/>
    <mergeCell ref="Q58:R58"/>
    <mergeCell ref="S58:T58"/>
    <mergeCell ref="U56:V56"/>
    <mergeCell ref="C57:K57"/>
    <mergeCell ref="L57:P57"/>
    <mergeCell ref="Q57:R57"/>
    <mergeCell ref="S57:T57"/>
    <mergeCell ref="U57:V57"/>
    <mergeCell ref="C56:K56"/>
    <mergeCell ref="L56:P56"/>
    <mergeCell ref="Q56:R56"/>
    <mergeCell ref="S56:T56"/>
    <mergeCell ref="C55:K55"/>
    <mergeCell ref="L55:P55"/>
    <mergeCell ref="Q55:R55"/>
    <mergeCell ref="S55:T55"/>
    <mergeCell ref="U55:V55"/>
    <mergeCell ref="C54:K54"/>
    <mergeCell ref="L54:P54"/>
    <mergeCell ref="Q54:R54"/>
    <mergeCell ref="S54:T54"/>
    <mergeCell ref="C53:K53"/>
    <mergeCell ref="L53:P53"/>
    <mergeCell ref="Q53:R53"/>
    <mergeCell ref="S53:T53"/>
    <mergeCell ref="U53:V53"/>
    <mergeCell ref="U54:V54"/>
    <mergeCell ref="U51:V51"/>
    <mergeCell ref="C52:K52"/>
    <mergeCell ref="L52:P52"/>
    <mergeCell ref="Q52:R52"/>
    <mergeCell ref="S52:T52"/>
    <mergeCell ref="C51:K51"/>
    <mergeCell ref="L51:P51"/>
    <mergeCell ref="Q51:R51"/>
    <mergeCell ref="S51:T51"/>
    <mergeCell ref="U52:V52"/>
    <mergeCell ref="U49:V49"/>
    <mergeCell ref="C50:K50"/>
    <mergeCell ref="L50:P50"/>
    <mergeCell ref="Q50:R50"/>
    <mergeCell ref="S50:T50"/>
    <mergeCell ref="U50:V50"/>
    <mergeCell ref="C49:K49"/>
    <mergeCell ref="L49:P49"/>
    <mergeCell ref="Q49:R49"/>
    <mergeCell ref="S49:T49"/>
    <mergeCell ref="U47:V47"/>
    <mergeCell ref="C48:K48"/>
    <mergeCell ref="L48:P48"/>
    <mergeCell ref="Q48:R48"/>
    <mergeCell ref="S48:T48"/>
    <mergeCell ref="U48:V48"/>
    <mergeCell ref="C47:K47"/>
    <mergeCell ref="L47:P47"/>
    <mergeCell ref="Q47:R47"/>
    <mergeCell ref="S47:T47"/>
    <mergeCell ref="U45:V45"/>
    <mergeCell ref="C46:K46"/>
    <mergeCell ref="L46:P46"/>
    <mergeCell ref="Q46:R46"/>
    <mergeCell ref="S46:T46"/>
    <mergeCell ref="U46:V46"/>
    <mergeCell ref="C45:K45"/>
    <mergeCell ref="L45:P45"/>
    <mergeCell ref="Q45:R45"/>
    <mergeCell ref="S45:T45"/>
    <mergeCell ref="L16:P16"/>
    <mergeCell ref="Q16:R16"/>
    <mergeCell ref="S16:T16"/>
    <mergeCell ref="U16:V16"/>
    <mergeCell ref="L17:P17"/>
    <mergeCell ref="Q17:R17"/>
    <mergeCell ref="S17:T17"/>
    <mergeCell ref="U17:V17"/>
    <mergeCell ref="U14:V14"/>
    <mergeCell ref="L15:P15"/>
    <mergeCell ref="Q15:R15"/>
    <mergeCell ref="S15:T15"/>
    <mergeCell ref="U15:V15"/>
    <mergeCell ref="L14:P14"/>
    <mergeCell ref="Q14:R14"/>
    <mergeCell ref="S14:T14"/>
    <mergeCell ref="C14:K14"/>
    <mergeCell ref="U13:V13"/>
    <mergeCell ref="C12:K12"/>
    <mergeCell ref="L12:P12"/>
    <mergeCell ref="Q12:R12"/>
    <mergeCell ref="S12:T12"/>
    <mergeCell ref="C13:K13"/>
    <mergeCell ref="L13:P13"/>
    <mergeCell ref="Q13:R13"/>
    <mergeCell ref="S13:T13"/>
    <mergeCell ref="U9:V9"/>
    <mergeCell ref="C10:K10"/>
    <mergeCell ref="L10:P10"/>
    <mergeCell ref="Q10:R10"/>
    <mergeCell ref="S10:T10"/>
    <mergeCell ref="U10:V10"/>
    <mergeCell ref="C9:K9"/>
    <mergeCell ref="L9:P9"/>
    <mergeCell ref="Q9:R9"/>
    <mergeCell ref="S9:T9"/>
    <mergeCell ref="U7:V7"/>
    <mergeCell ref="C8:K8"/>
    <mergeCell ref="L8:P8"/>
    <mergeCell ref="Q8:R8"/>
    <mergeCell ref="S8:T8"/>
    <mergeCell ref="U8:V8"/>
    <mergeCell ref="C7:K7"/>
    <mergeCell ref="L7:P7"/>
    <mergeCell ref="Q7:R7"/>
    <mergeCell ref="S7:T7"/>
    <mergeCell ref="U5:V5"/>
    <mergeCell ref="C6:K6"/>
    <mergeCell ref="L6:P6"/>
    <mergeCell ref="Q6:R6"/>
    <mergeCell ref="S6:T6"/>
    <mergeCell ref="U6:V6"/>
    <mergeCell ref="C5:K5"/>
    <mergeCell ref="L5:P5"/>
    <mergeCell ref="Q5:R5"/>
    <mergeCell ref="S5:T5"/>
    <mergeCell ref="U19:V19"/>
    <mergeCell ref="C18:K18"/>
    <mergeCell ref="L18:P18"/>
    <mergeCell ref="Q18:R18"/>
    <mergeCell ref="S18:T18"/>
    <mergeCell ref="C19:K19"/>
    <mergeCell ref="L19:P19"/>
    <mergeCell ref="Q19:R19"/>
    <mergeCell ref="S19:T19"/>
    <mergeCell ref="C16:K16"/>
    <mergeCell ref="C17:K17"/>
    <mergeCell ref="C11:K11"/>
    <mergeCell ref="U18:V18"/>
    <mergeCell ref="C15:K15"/>
    <mergeCell ref="L11:P11"/>
    <mergeCell ref="Q11:R11"/>
    <mergeCell ref="S11:T11"/>
    <mergeCell ref="U11:V11"/>
    <mergeCell ref="U12:V12"/>
    <mergeCell ref="S20:T20"/>
    <mergeCell ref="U20:V20"/>
    <mergeCell ref="C21:K21"/>
    <mergeCell ref="L21:P21"/>
    <mergeCell ref="Q21:R21"/>
    <mergeCell ref="S21:T21"/>
    <mergeCell ref="U21:V21"/>
    <mergeCell ref="C20:K20"/>
    <mergeCell ref="L20:P20"/>
    <mergeCell ref="Q20:R20"/>
    <mergeCell ref="U22:V22"/>
    <mergeCell ref="C23:K23"/>
    <mergeCell ref="L23:P23"/>
    <mergeCell ref="Q23:R23"/>
    <mergeCell ref="S23:T23"/>
    <mergeCell ref="U23:V23"/>
    <mergeCell ref="C22:K22"/>
    <mergeCell ref="L22:P22"/>
    <mergeCell ref="Q22:R22"/>
    <mergeCell ref="S22:T22"/>
    <mergeCell ref="U24:V24"/>
    <mergeCell ref="C25:K25"/>
    <mergeCell ref="L25:P25"/>
    <mergeCell ref="Q25:R25"/>
    <mergeCell ref="S25:T25"/>
    <mergeCell ref="U25:V25"/>
    <mergeCell ref="C24:K24"/>
    <mergeCell ref="L24:P24"/>
    <mergeCell ref="Q24:R24"/>
    <mergeCell ref="S24:T24"/>
    <mergeCell ref="U26:V26"/>
    <mergeCell ref="C27:K27"/>
    <mergeCell ref="L27:P27"/>
    <mergeCell ref="Q27:R27"/>
    <mergeCell ref="S27:T27"/>
    <mergeCell ref="U27:V27"/>
    <mergeCell ref="C26:K26"/>
    <mergeCell ref="L26:P26"/>
    <mergeCell ref="Q26:R26"/>
    <mergeCell ref="S26:T26"/>
    <mergeCell ref="U28:V28"/>
    <mergeCell ref="C29:K29"/>
    <mergeCell ref="L29:P29"/>
    <mergeCell ref="Q29:R29"/>
    <mergeCell ref="S29:T29"/>
    <mergeCell ref="U29:V29"/>
    <mergeCell ref="C28:K28"/>
    <mergeCell ref="L28:P28"/>
    <mergeCell ref="Q28:R28"/>
    <mergeCell ref="S28:T28"/>
    <mergeCell ref="U30:V30"/>
    <mergeCell ref="C31:K31"/>
    <mergeCell ref="L31:P31"/>
    <mergeCell ref="Q31:R31"/>
    <mergeCell ref="S31:T31"/>
    <mergeCell ref="U31:V31"/>
    <mergeCell ref="C30:K30"/>
    <mergeCell ref="L30:P30"/>
    <mergeCell ref="Q30:R30"/>
    <mergeCell ref="S30:T30"/>
    <mergeCell ref="U32:V32"/>
    <mergeCell ref="C33:K33"/>
    <mergeCell ref="L33:P33"/>
    <mergeCell ref="Q33:R33"/>
    <mergeCell ref="S33:T33"/>
    <mergeCell ref="U33:V33"/>
    <mergeCell ref="C32:K32"/>
    <mergeCell ref="L32:P32"/>
    <mergeCell ref="Q32:R32"/>
    <mergeCell ref="S32:T32"/>
    <mergeCell ref="U34:V34"/>
    <mergeCell ref="C35:K35"/>
    <mergeCell ref="L35:P35"/>
    <mergeCell ref="Q35:R35"/>
    <mergeCell ref="S35:T35"/>
    <mergeCell ref="U35:V35"/>
    <mergeCell ref="C34:K34"/>
    <mergeCell ref="L34:P34"/>
    <mergeCell ref="Q34:R34"/>
    <mergeCell ref="S34:T34"/>
    <mergeCell ref="U36:V36"/>
    <mergeCell ref="C37:K37"/>
    <mergeCell ref="L37:P37"/>
    <mergeCell ref="Q37:R37"/>
    <mergeCell ref="S37:T37"/>
    <mergeCell ref="U37:V37"/>
    <mergeCell ref="C36:K36"/>
    <mergeCell ref="L36:P36"/>
    <mergeCell ref="Q36:R36"/>
    <mergeCell ref="S36:T36"/>
    <mergeCell ref="U38:V38"/>
    <mergeCell ref="C39:K39"/>
    <mergeCell ref="L39:P39"/>
    <mergeCell ref="Q39:R39"/>
    <mergeCell ref="S39:T39"/>
    <mergeCell ref="U39:V39"/>
    <mergeCell ref="C38:K38"/>
    <mergeCell ref="L38:P38"/>
    <mergeCell ref="Q38:R38"/>
    <mergeCell ref="S38:T38"/>
    <mergeCell ref="U40:V40"/>
    <mergeCell ref="C41:K41"/>
    <mergeCell ref="L41:P41"/>
    <mergeCell ref="Q41:R41"/>
    <mergeCell ref="S41:T41"/>
    <mergeCell ref="U41:V41"/>
    <mergeCell ref="C40:K40"/>
    <mergeCell ref="L40:P40"/>
    <mergeCell ref="Q40:R40"/>
    <mergeCell ref="S40:T40"/>
    <mergeCell ref="Q43:R43"/>
    <mergeCell ref="S43:T43"/>
    <mergeCell ref="U43:V43"/>
    <mergeCell ref="C42:K42"/>
    <mergeCell ref="L42:P42"/>
    <mergeCell ref="Q42:R42"/>
    <mergeCell ref="S42:T42"/>
    <mergeCell ref="U44:V44"/>
    <mergeCell ref="E2:T2"/>
    <mergeCell ref="G3:R3"/>
    <mergeCell ref="C44:K44"/>
    <mergeCell ref="L44:P44"/>
    <mergeCell ref="Q44:R44"/>
    <mergeCell ref="S44:T44"/>
    <mergeCell ref="U42:V42"/>
    <mergeCell ref="C43:K43"/>
    <mergeCell ref="L43:P43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85"/>
  <colBreaks count="1" manualBreakCount="1">
    <brk id="23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H62"/>
  <sheetViews>
    <sheetView showGridLines="0" zoomScale="110" zoomScaleNormal="110" workbookViewId="0" topLeftCell="A1">
      <selection activeCell="A1" sqref="A1"/>
    </sheetView>
  </sheetViews>
  <sheetFormatPr defaultColWidth="11.57421875" defaultRowHeight="12.75"/>
  <cols>
    <col min="1" max="1" width="3.00390625" style="171" customWidth="1"/>
    <col min="2" max="2" width="5.00390625" style="29" customWidth="1"/>
    <col min="3" max="3" width="35.7109375" style="171" customWidth="1"/>
    <col min="4" max="8" width="10.8515625" style="171" customWidth="1"/>
    <col min="9" max="9" width="3.00390625" style="171" customWidth="1"/>
    <col min="10" max="16384" width="11.421875" style="171" customWidth="1"/>
  </cols>
  <sheetData>
    <row r="2" spans="2:8" ht="30" customHeight="1">
      <c r="B2" s="650" t="str">
        <f>'Ranquing Inicial'!E2</f>
        <v>I OPEN TRES BANDES C.B. MONFORTE</v>
      </c>
      <c r="C2" s="650"/>
      <c r="D2" s="650"/>
      <c r="E2" s="650"/>
      <c r="F2" s="650"/>
      <c r="G2" s="650"/>
      <c r="H2" s="650"/>
    </row>
    <row r="3" spans="2:8" ht="12.75" customHeight="1">
      <c r="B3" s="228"/>
      <c r="C3" s="170"/>
      <c r="D3" s="170"/>
      <c r="E3" s="170"/>
      <c r="F3" s="170"/>
      <c r="G3" s="170"/>
      <c r="H3" s="170"/>
    </row>
    <row r="4" spans="2:8" ht="30" customHeight="1">
      <c r="B4" s="651" t="s">
        <v>334</v>
      </c>
      <c r="C4" s="651"/>
      <c r="D4" s="651"/>
      <c r="E4" s="651"/>
      <c r="F4" s="651"/>
      <c r="G4" s="651"/>
      <c r="H4" s="651"/>
    </row>
    <row r="5" spans="2:8" ht="12.75" customHeight="1">
      <c r="B5" s="229"/>
      <c r="C5" s="178"/>
      <c r="D5" s="178"/>
      <c r="E5" s="178"/>
      <c r="F5" s="178"/>
      <c r="G5" s="178"/>
      <c r="H5" s="178"/>
    </row>
    <row r="6" spans="3:8" ht="15.75" customHeight="1">
      <c r="C6" s="171" t="s">
        <v>262</v>
      </c>
      <c r="D6" s="172" t="s">
        <v>299</v>
      </c>
      <c r="E6" s="172" t="s">
        <v>298</v>
      </c>
      <c r="F6" s="172" t="s">
        <v>309</v>
      </c>
      <c r="G6" s="172" t="s">
        <v>300</v>
      </c>
      <c r="H6" s="172" t="s">
        <v>301</v>
      </c>
    </row>
    <row r="7" spans="2:8" s="216" customFormat="1" ht="24" customHeight="1">
      <c r="B7" s="239">
        <v>1</v>
      </c>
      <c r="C7" s="215" t="s">
        <v>25</v>
      </c>
      <c r="D7" s="219">
        <v>40</v>
      </c>
      <c r="E7" s="219">
        <v>19</v>
      </c>
      <c r="F7" s="220">
        <v>2.1052631578947367</v>
      </c>
      <c r="G7" s="219">
        <v>12</v>
      </c>
      <c r="H7" s="221">
        <v>2</v>
      </c>
    </row>
    <row r="8" spans="2:8" s="216" customFormat="1" ht="24" customHeight="1">
      <c r="B8" s="240">
        <v>2</v>
      </c>
      <c r="C8" s="217" t="s">
        <v>251</v>
      </c>
      <c r="D8" s="222">
        <v>40</v>
      </c>
      <c r="E8" s="222">
        <v>22</v>
      </c>
      <c r="F8" s="223">
        <v>1.8181818181818181</v>
      </c>
      <c r="G8" s="222">
        <v>16</v>
      </c>
      <c r="H8" s="224">
        <v>2</v>
      </c>
    </row>
    <row r="9" spans="2:8" s="216" customFormat="1" ht="24" customHeight="1">
      <c r="B9" s="240">
        <v>3</v>
      </c>
      <c r="C9" s="217" t="s">
        <v>22</v>
      </c>
      <c r="D9" s="222">
        <v>40</v>
      </c>
      <c r="E9" s="222">
        <v>25</v>
      </c>
      <c r="F9" s="223">
        <v>1.6</v>
      </c>
      <c r="G9" s="222">
        <v>7</v>
      </c>
      <c r="H9" s="224">
        <v>2</v>
      </c>
    </row>
    <row r="10" spans="2:8" s="216" customFormat="1" ht="24" customHeight="1">
      <c r="B10" s="240">
        <v>4</v>
      </c>
      <c r="C10" s="217" t="s">
        <v>24</v>
      </c>
      <c r="D10" s="222">
        <v>40</v>
      </c>
      <c r="E10" s="222">
        <v>32</v>
      </c>
      <c r="F10" s="223">
        <v>1.25</v>
      </c>
      <c r="G10" s="222">
        <v>6</v>
      </c>
      <c r="H10" s="224">
        <v>2</v>
      </c>
    </row>
    <row r="11" spans="2:8" s="216" customFormat="1" ht="24" customHeight="1">
      <c r="B11" s="240">
        <v>5</v>
      </c>
      <c r="C11" s="217" t="s">
        <v>31</v>
      </c>
      <c r="D11" s="222">
        <v>40</v>
      </c>
      <c r="E11" s="222">
        <v>34</v>
      </c>
      <c r="F11" s="223">
        <v>1.1764705882352942</v>
      </c>
      <c r="G11" s="222">
        <v>6</v>
      </c>
      <c r="H11" s="224">
        <v>2</v>
      </c>
    </row>
    <row r="12" spans="2:8" s="216" customFormat="1" ht="24" customHeight="1">
      <c r="B12" s="240">
        <v>6</v>
      </c>
      <c r="C12" s="217" t="s">
        <v>252</v>
      </c>
      <c r="D12" s="222">
        <v>40</v>
      </c>
      <c r="E12" s="222">
        <v>37</v>
      </c>
      <c r="F12" s="223">
        <v>1.0810810810810811</v>
      </c>
      <c r="G12" s="222">
        <v>5</v>
      </c>
      <c r="H12" s="224">
        <v>2</v>
      </c>
    </row>
    <row r="13" spans="2:8" s="216" customFormat="1" ht="24" customHeight="1">
      <c r="B13" s="240">
        <v>7</v>
      </c>
      <c r="C13" s="217" t="s">
        <v>216</v>
      </c>
      <c r="D13" s="222">
        <v>40</v>
      </c>
      <c r="E13" s="222">
        <v>39</v>
      </c>
      <c r="F13" s="223">
        <v>1.0256410256410255</v>
      </c>
      <c r="G13" s="222">
        <v>6</v>
      </c>
      <c r="H13" s="224">
        <v>2</v>
      </c>
    </row>
    <row r="14" spans="2:8" s="216" customFormat="1" ht="24" customHeight="1">
      <c r="B14" s="241">
        <v>8</v>
      </c>
      <c r="C14" s="218" t="s">
        <v>217</v>
      </c>
      <c r="D14" s="225">
        <v>40</v>
      </c>
      <c r="E14" s="225">
        <v>41</v>
      </c>
      <c r="F14" s="226">
        <v>0.975609756097561</v>
      </c>
      <c r="G14" s="225">
        <v>5</v>
      </c>
      <c r="H14" s="227">
        <v>2</v>
      </c>
    </row>
    <row r="15" spans="2:8" ht="21" customHeight="1">
      <c r="B15" s="258"/>
      <c r="C15" s="253"/>
      <c r="D15" s="254"/>
      <c r="E15" s="254"/>
      <c r="F15" s="255"/>
      <c r="G15" s="254"/>
      <c r="H15" s="254"/>
    </row>
    <row r="16" spans="2:8" ht="21" customHeight="1">
      <c r="B16" s="259"/>
      <c r="C16" s="184"/>
      <c r="D16" s="185"/>
      <c r="E16" s="185"/>
      <c r="F16" s="186"/>
      <c r="G16" s="185"/>
      <c r="H16" s="185"/>
    </row>
    <row r="17" spans="2:8" ht="21" customHeight="1">
      <c r="B17" s="259"/>
      <c r="C17" s="184"/>
      <c r="D17" s="185"/>
      <c r="E17" s="185"/>
      <c r="F17" s="186"/>
      <c r="G17" s="185"/>
      <c r="H17" s="185"/>
    </row>
    <row r="18" spans="2:8" ht="21" customHeight="1">
      <c r="B18" s="259"/>
      <c r="C18" s="184"/>
      <c r="D18" s="185"/>
      <c r="E18" s="185"/>
      <c r="F18" s="186"/>
      <c r="G18" s="185"/>
      <c r="H18" s="185"/>
    </row>
    <row r="19" spans="2:8" ht="21" customHeight="1">
      <c r="B19" s="259"/>
      <c r="C19" s="184"/>
      <c r="D19" s="185"/>
      <c r="E19" s="185"/>
      <c r="F19" s="186"/>
      <c r="G19" s="185"/>
      <c r="H19" s="185"/>
    </row>
    <row r="20" spans="2:8" ht="21" customHeight="1">
      <c r="B20" s="259"/>
      <c r="C20" s="184"/>
      <c r="D20" s="185"/>
      <c r="E20" s="185"/>
      <c r="F20" s="186"/>
      <c r="G20" s="185"/>
      <c r="H20" s="185"/>
    </row>
    <row r="21" spans="2:8" ht="21" customHeight="1">
      <c r="B21" s="259"/>
      <c r="C21" s="184"/>
      <c r="D21" s="185"/>
      <c r="E21" s="185"/>
      <c r="F21" s="186"/>
      <c r="G21" s="185"/>
      <c r="H21" s="185"/>
    </row>
    <row r="22" spans="2:8" ht="21" customHeight="1">
      <c r="B22" s="259"/>
      <c r="C22" s="184"/>
      <c r="D22" s="185"/>
      <c r="E22" s="185"/>
      <c r="F22" s="186"/>
      <c r="G22" s="185"/>
      <c r="H22" s="185"/>
    </row>
    <row r="23" spans="2:8" ht="21" customHeight="1">
      <c r="B23" s="259"/>
      <c r="C23" s="184"/>
      <c r="D23" s="185"/>
      <c r="E23" s="185"/>
      <c r="F23" s="186"/>
      <c r="G23" s="185"/>
      <c r="H23" s="185"/>
    </row>
    <row r="24" spans="2:8" ht="21" customHeight="1">
      <c r="B24" s="259"/>
      <c r="C24" s="184"/>
      <c r="D24" s="185"/>
      <c r="E24" s="185"/>
      <c r="F24" s="186"/>
      <c r="G24" s="185"/>
      <c r="H24" s="185"/>
    </row>
    <row r="25" spans="2:8" ht="21" customHeight="1">
      <c r="B25" s="259"/>
      <c r="C25" s="184"/>
      <c r="D25" s="185"/>
      <c r="E25" s="185"/>
      <c r="F25" s="186"/>
      <c r="G25" s="185"/>
      <c r="H25" s="185"/>
    </row>
    <row r="26" spans="2:8" ht="21" customHeight="1">
      <c r="B26" s="259"/>
      <c r="C26" s="184"/>
      <c r="D26" s="185"/>
      <c r="E26" s="185"/>
      <c r="F26" s="186"/>
      <c r="G26" s="185"/>
      <c r="H26" s="185"/>
    </row>
    <row r="27" spans="2:8" ht="21" customHeight="1">
      <c r="B27" s="259"/>
      <c r="C27" s="184"/>
      <c r="D27" s="185"/>
      <c r="E27" s="185"/>
      <c r="F27" s="186"/>
      <c r="G27" s="185"/>
      <c r="H27" s="185"/>
    </row>
    <row r="28" spans="2:8" ht="21" customHeight="1">
      <c r="B28" s="259"/>
      <c r="C28" s="184"/>
      <c r="D28" s="185"/>
      <c r="E28" s="185"/>
      <c r="F28" s="186"/>
      <c r="G28" s="185"/>
      <c r="H28" s="185"/>
    </row>
    <row r="29" spans="2:8" ht="21" customHeight="1">
      <c r="B29" s="259"/>
      <c r="C29" s="184"/>
      <c r="D29" s="185"/>
      <c r="E29" s="185"/>
      <c r="F29" s="186"/>
      <c r="G29" s="185"/>
      <c r="H29" s="185"/>
    </row>
    <row r="30" spans="2:8" ht="21" customHeight="1">
      <c r="B30" s="259"/>
      <c r="C30" s="184"/>
      <c r="D30" s="185"/>
      <c r="E30" s="185"/>
      <c r="F30" s="186"/>
      <c r="G30" s="185"/>
      <c r="H30" s="185"/>
    </row>
    <row r="31" spans="2:8" ht="21" customHeight="1">
      <c r="B31" s="259"/>
      <c r="C31" s="184"/>
      <c r="D31" s="185"/>
      <c r="E31" s="185"/>
      <c r="F31" s="186"/>
      <c r="G31" s="185"/>
      <c r="H31" s="185"/>
    </row>
    <row r="32" spans="2:8" ht="21" customHeight="1">
      <c r="B32" s="259"/>
      <c r="C32" s="184"/>
      <c r="D32" s="185"/>
      <c r="E32" s="185"/>
      <c r="F32" s="186"/>
      <c r="G32" s="185"/>
      <c r="H32" s="185"/>
    </row>
    <row r="33" spans="2:8" ht="21" customHeight="1">
      <c r="B33" s="259"/>
      <c r="C33" s="184"/>
      <c r="D33" s="185"/>
      <c r="E33" s="185"/>
      <c r="F33" s="186"/>
      <c r="G33" s="185"/>
      <c r="H33" s="185"/>
    </row>
    <row r="34" spans="2:8" ht="21" customHeight="1">
      <c r="B34" s="259"/>
      <c r="C34" s="184"/>
      <c r="D34" s="185"/>
      <c r="E34" s="185"/>
      <c r="F34" s="186"/>
      <c r="G34" s="185"/>
      <c r="H34" s="185"/>
    </row>
    <row r="35" spans="2:8" ht="21" customHeight="1">
      <c r="B35" s="259"/>
      <c r="C35" s="184"/>
      <c r="D35" s="185"/>
      <c r="E35" s="185"/>
      <c r="F35" s="186"/>
      <c r="G35" s="185"/>
      <c r="H35" s="185"/>
    </row>
    <row r="36" spans="2:8" ht="21" customHeight="1">
      <c r="B36" s="259"/>
      <c r="C36" s="184"/>
      <c r="D36" s="185"/>
      <c r="E36" s="185"/>
      <c r="F36" s="186"/>
      <c r="G36" s="185"/>
      <c r="H36" s="185"/>
    </row>
    <row r="37" spans="2:8" ht="21" customHeight="1">
      <c r="B37" s="259"/>
      <c r="C37" s="184"/>
      <c r="D37" s="185"/>
      <c r="E37" s="185"/>
      <c r="F37" s="186"/>
      <c r="G37" s="185"/>
      <c r="H37" s="185"/>
    </row>
    <row r="38" spans="2:8" ht="21" customHeight="1">
      <c r="B38" s="259"/>
      <c r="C38" s="184"/>
      <c r="D38" s="185"/>
      <c r="E38" s="185"/>
      <c r="F38" s="186"/>
      <c r="G38" s="185"/>
      <c r="H38" s="185"/>
    </row>
    <row r="39" spans="2:8" ht="21" customHeight="1">
      <c r="B39" s="259"/>
      <c r="C39" s="184"/>
      <c r="D39" s="185"/>
      <c r="E39" s="185"/>
      <c r="F39" s="186"/>
      <c r="G39" s="185"/>
      <c r="H39" s="185"/>
    </row>
    <row r="40" spans="2:8" ht="21" customHeight="1">
      <c r="B40" s="259"/>
      <c r="C40" s="184"/>
      <c r="D40" s="185"/>
      <c r="E40" s="185"/>
      <c r="F40" s="186"/>
      <c r="G40" s="185"/>
      <c r="H40" s="185"/>
    </row>
    <row r="41" spans="2:8" ht="21" customHeight="1">
      <c r="B41" s="259"/>
      <c r="C41" s="184"/>
      <c r="D41" s="185"/>
      <c r="E41" s="185"/>
      <c r="F41" s="186"/>
      <c r="G41" s="185"/>
      <c r="H41" s="185"/>
    </row>
    <row r="42" spans="2:8" ht="21" customHeight="1">
      <c r="B42" s="259"/>
      <c r="C42" s="184"/>
      <c r="D42" s="185"/>
      <c r="E42" s="185"/>
      <c r="F42" s="186"/>
      <c r="G42" s="185"/>
      <c r="H42" s="185"/>
    </row>
    <row r="43" spans="2:8" ht="21" customHeight="1">
      <c r="B43" s="259"/>
      <c r="C43" s="184"/>
      <c r="D43" s="185"/>
      <c r="E43" s="185"/>
      <c r="F43" s="186"/>
      <c r="G43" s="185"/>
      <c r="H43" s="185"/>
    </row>
    <row r="44" spans="2:8" ht="21" customHeight="1">
      <c r="B44" s="259"/>
      <c r="C44" s="184"/>
      <c r="D44" s="185"/>
      <c r="E44" s="185"/>
      <c r="F44" s="186"/>
      <c r="G44" s="185"/>
      <c r="H44" s="185"/>
    </row>
    <row r="45" spans="2:8" ht="21" customHeight="1">
      <c r="B45" s="259"/>
      <c r="C45" s="184"/>
      <c r="D45" s="185"/>
      <c r="E45" s="185"/>
      <c r="F45" s="186"/>
      <c r="G45" s="185"/>
      <c r="H45" s="185"/>
    </row>
    <row r="46" spans="2:8" ht="21" customHeight="1">
      <c r="B46" s="259"/>
      <c r="C46" s="184"/>
      <c r="D46" s="185"/>
      <c r="E46" s="185"/>
      <c r="F46" s="186"/>
      <c r="G46" s="185"/>
      <c r="H46" s="185"/>
    </row>
    <row r="47" spans="2:8" ht="21" customHeight="1">
      <c r="B47" s="259"/>
      <c r="C47" s="184"/>
      <c r="D47" s="185"/>
      <c r="E47" s="185"/>
      <c r="F47" s="186"/>
      <c r="G47" s="185"/>
      <c r="H47" s="185"/>
    </row>
    <row r="48" spans="2:8" ht="21" customHeight="1">
      <c r="B48" s="259"/>
      <c r="C48" s="184"/>
      <c r="D48" s="185"/>
      <c r="E48" s="185"/>
      <c r="F48" s="186"/>
      <c r="G48" s="185"/>
      <c r="H48" s="185"/>
    </row>
    <row r="49" spans="2:8" ht="21" customHeight="1">
      <c r="B49" s="259"/>
      <c r="C49" s="184"/>
      <c r="D49" s="185"/>
      <c r="E49" s="185"/>
      <c r="F49" s="186"/>
      <c r="G49" s="185"/>
      <c r="H49" s="185"/>
    </row>
    <row r="50" spans="2:8" ht="21" customHeight="1">
      <c r="B50" s="259"/>
      <c r="C50" s="184"/>
      <c r="D50" s="185"/>
      <c r="E50" s="185"/>
      <c r="F50" s="186"/>
      <c r="G50" s="185"/>
      <c r="H50" s="185"/>
    </row>
    <row r="51" spans="2:8" ht="21" customHeight="1">
      <c r="B51" s="259"/>
      <c r="C51" s="184"/>
      <c r="D51" s="185"/>
      <c r="E51" s="185"/>
      <c r="F51" s="186"/>
      <c r="G51" s="185"/>
      <c r="H51" s="185"/>
    </row>
    <row r="52" spans="2:8" ht="21" customHeight="1">
      <c r="B52" s="259"/>
      <c r="C52" s="184"/>
      <c r="D52" s="185"/>
      <c r="E52" s="185"/>
      <c r="F52" s="186"/>
      <c r="G52" s="185"/>
      <c r="H52" s="185"/>
    </row>
    <row r="53" spans="2:8" ht="21" customHeight="1">
      <c r="B53" s="259"/>
      <c r="C53" s="184"/>
      <c r="D53" s="185"/>
      <c r="E53" s="185"/>
      <c r="F53" s="186"/>
      <c r="G53" s="185"/>
      <c r="H53" s="185"/>
    </row>
    <row r="54" spans="2:8" ht="21" customHeight="1">
      <c r="B54" s="259"/>
      <c r="C54" s="184"/>
      <c r="D54" s="185"/>
      <c r="E54" s="185"/>
      <c r="F54" s="186"/>
      <c r="G54" s="185"/>
      <c r="H54" s="185"/>
    </row>
    <row r="55" spans="2:8" ht="21" customHeight="1">
      <c r="B55" s="259"/>
      <c r="C55" s="184"/>
      <c r="D55" s="185"/>
      <c r="E55" s="185"/>
      <c r="F55" s="186"/>
      <c r="G55" s="185"/>
      <c r="H55" s="185"/>
    </row>
    <row r="56" spans="2:8" ht="21" customHeight="1">
      <c r="B56" s="259"/>
      <c r="C56" s="184"/>
      <c r="D56" s="185"/>
      <c r="E56" s="185"/>
      <c r="F56" s="186"/>
      <c r="G56" s="185"/>
      <c r="H56" s="185"/>
    </row>
    <row r="57" spans="2:8" ht="21" customHeight="1">
      <c r="B57" s="259"/>
      <c r="C57" s="184"/>
      <c r="D57" s="185"/>
      <c r="E57" s="185"/>
      <c r="F57" s="186"/>
      <c r="G57" s="185"/>
      <c r="H57" s="185"/>
    </row>
    <row r="58" spans="2:8" ht="21" customHeight="1">
      <c r="B58" s="259"/>
      <c r="C58" s="184"/>
      <c r="D58" s="185"/>
      <c r="E58" s="185"/>
      <c r="F58" s="186"/>
      <c r="G58" s="185"/>
      <c r="H58" s="185"/>
    </row>
    <row r="59" spans="2:8" ht="21" customHeight="1">
      <c r="B59" s="259"/>
      <c r="C59" s="184"/>
      <c r="D59" s="185"/>
      <c r="E59" s="185"/>
      <c r="F59" s="186"/>
      <c r="G59" s="185"/>
      <c r="H59" s="185"/>
    </row>
    <row r="60" spans="2:8" ht="21" customHeight="1">
      <c r="B60" s="259"/>
      <c r="C60" s="184"/>
      <c r="D60" s="185"/>
      <c r="E60" s="185"/>
      <c r="F60" s="186"/>
      <c r="G60" s="185"/>
      <c r="H60" s="185"/>
    </row>
    <row r="61" spans="2:8" ht="21" customHeight="1">
      <c r="B61" s="259"/>
      <c r="C61" s="184"/>
      <c r="D61" s="185"/>
      <c r="E61" s="185"/>
      <c r="F61" s="186"/>
      <c r="G61" s="185"/>
      <c r="H61" s="185"/>
    </row>
    <row r="62" spans="2:8" ht="21" customHeight="1">
      <c r="B62" s="259"/>
      <c r="C62" s="184"/>
      <c r="D62" s="185"/>
      <c r="E62" s="185"/>
      <c r="F62" s="186"/>
      <c r="G62" s="185"/>
      <c r="H62" s="185"/>
    </row>
  </sheetData>
  <sheetProtection/>
  <mergeCells count="2">
    <mergeCell ref="B2:H2"/>
    <mergeCell ref="B4:H4"/>
  </mergeCells>
  <printOptions/>
  <pageMargins left="0.5905511811023623" right="0.1968503937007874" top="0.1968503937007874" bottom="0" header="0" footer="0"/>
  <pageSetup orientation="portrait" paperSize="9"/>
  <rowBreaks count="1" manualBreakCount="1">
    <brk id="30" max="255" man="1"/>
  </rowBreaks>
  <colBreaks count="1" manualBreakCount="1">
    <brk id="8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H58"/>
  <sheetViews>
    <sheetView showGridLines="0" zoomScale="110" zoomScaleNormal="110" workbookViewId="0" topLeftCell="A1">
      <selection activeCell="A1" sqref="A1"/>
    </sheetView>
  </sheetViews>
  <sheetFormatPr defaultColWidth="11.57421875" defaultRowHeight="12.75"/>
  <cols>
    <col min="1" max="1" width="3.00390625" style="171" customWidth="1"/>
    <col min="2" max="2" width="5.00390625" style="29" customWidth="1"/>
    <col min="3" max="3" width="35.7109375" style="171" customWidth="1"/>
    <col min="4" max="8" width="10.8515625" style="171" customWidth="1"/>
    <col min="9" max="9" width="3.00390625" style="171" customWidth="1"/>
    <col min="10" max="16384" width="11.421875" style="171" customWidth="1"/>
  </cols>
  <sheetData>
    <row r="2" spans="2:8" ht="30" customHeight="1">
      <c r="B2" s="650" t="str">
        <f>'Ranquing Inicial'!E2</f>
        <v>I OPEN TRES BANDES C.B. MONFORTE</v>
      </c>
      <c r="C2" s="650"/>
      <c r="D2" s="650"/>
      <c r="E2" s="650"/>
      <c r="F2" s="650"/>
      <c r="G2" s="650"/>
      <c r="H2" s="650"/>
    </row>
    <row r="3" spans="2:8" ht="12.75" customHeight="1">
      <c r="B3" s="228"/>
      <c r="C3" s="170"/>
      <c r="D3" s="170"/>
      <c r="E3" s="170"/>
      <c r="F3" s="170"/>
      <c r="G3" s="170"/>
      <c r="H3" s="170"/>
    </row>
    <row r="4" spans="2:8" ht="30" customHeight="1">
      <c r="B4" s="651" t="s">
        <v>338</v>
      </c>
      <c r="C4" s="651"/>
      <c r="D4" s="651"/>
      <c r="E4" s="651"/>
      <c r="F4" s="651"/>
      <c r="G4" s="651"/>
      <c r="H4" s="651"/>
    </row>
    <row r="5" spans="2:8" ht="12.75" customHeight="1">
      <c r="B5" s="229"/>
      <c r="C5" s="178"/>
      <c r="D5" s="178"/>
      <c r="E5" s="178"/>
      <c r="F5" s="178"/>
      <c r="G5" s="178"/>
      <c r="H5" s="178"/>
    </row>
    <row r="6" spans="3:8" ht="15.75" customHeight="1">
      <c r="C6" s="171" t="s">
        <v>262</v>
      </c>
      <c r="D6" s="172" t="s">
        <v>299</v>
      </c>
      <c r="E6" s="172" t="s">
        <v>298</v>
      </c>
      <c r="F6" s="172" t="s">
        <v>309</v>
      </c>
      <c r="G6" s="172" t="s">
        <v>300</v>
      </c>
      <c r="H6" s="172" t="s">
        <v>301</v>
      </c>
    </row>
    <row r="7" spans="2:8" s="216" customFormat="1" ht="24" customHeight="1">
      <c r="B7" s="239">
        <v>1</v>
      </c>
      <c r="C7" s="215" t="s">
        <v>251</v>
      </c>
      <c r="D7" s="219">
        <v>40</v>
      </c>
      <c r="E7" s="219">
        <v>24</v>
      </c>
      <c r="F7" s="220">
        <v>1.6666666666666667</v>
      </c>
      <c r="G7" s="219">
        <v>14</v>
      </c>
      <c r="H7" s="221">
        <v>2</v>
      </c>
    </row>
    <row r="8" spans="2:8" s="216" customFormat="1" ht="24" customHeight="1">
      <c r="B8" s="240">
        <v>2</v>
      </c>
      <c r="C8" s="217" t="s">
        <v>24</v>
      </c>
      <c r="D8" s="222">
        <v>40</v>
      </c>
      <c r="E8" s="222">
        <v>32</v>
      </c>
      <c r="F8" s="223">
        <v>1.25</v>
      </c>
      <c r="G8" s="222">
        <v>13</v>
      </c>
      <c r="H8" s="224">
        <v>2</v>
      </c>
    </row>
    <row r="9" spans="2:8" s="216" customFormat="1" ht="24" customHeight="1">
      <c r="B9" s="240">
        <v>3</v>
      </c>
      <c r="C9" s="217" t="s">
        <v>22</v>
      </c>
      <c r="D9" s="222">
        <v>40</v>
      </c>
      <c r="E9" s="222">
        <v>33</v>
      </c>
      <c r="F9" s="223">
        <v>1.2121212121212122</v>
      </c>
      <c r="G9" s="222">
        <v>5</v>
      </c>
      <c r="H9" s="224">
        <v>2</v>
      </c>
    </row>
    <row r="10" spans="2:8" s="216" customFormat="1" ht="24" customHeight="1">
      <c r="B10" s="241">
        <v>4</v>
      </c>
      <c r="C10" s="218" t="s">
        <v>217</v>
      </c>
      <c r="D10" s="225">
        <v>40</v>
      </c>
      <c r="E10" s="225">
        <v>41</v>
      </c>
      <c r="F10" s="226">
        <v>0.975609756097561</v>
      </c>
      <c r="G10" s="225">
        <v>7</v>
      </c>
      <c r="H10" s="227">
        <v>2</v>
      </c>
    </row>
    <row r="11" spans="2:8" ht="21" customHeight="1">
      <c r="B11" s="258"/>
      <c r="C11" s="253"/>
      <c r="D11" s="254"/>
      <c r="E11" s="254"/>
      <c r="F11" s="255"/>
      <c r="G11" s="254"/>
      <c r="H11" s="254"/>
    </row>
    <row r="12" spans="2:8" ht="21" customHeight="1">
      <c r="B12" s="259"/>
      <c r="C12" s="184"/>
      <c r="D12" s="185"/>
      <c r="E12" s="185"/>
      <c r="F12" s="186"/>
      <c r="G12" s="185"/>
      <c r="H12" s="185"/>
    </row>
    <row r="13" spans="2:8" ht="21" customHeight="1">
      <c r="B13" s="259"/>
      <c r="C13" s="184"/>
      <c r="D13" s="185"/>
      <c r="E13" s="185"/>
      <c r="F13" s="186"/>
      <c r="G13" s="185"/>
      <c r="H13" s="185"/>
    </row>
    <row r="14" spans="2:8" ht="21" customHeight="1">
      <c r="B14" s="259"/>
      <c r="C14" s="184"/>
      <c r="D14" s="185"/>
      <c r="E14" s="185"/>
      <c r="F14" s="186"/>
      <c r="G14" s="185"/>
      <c r="H14" s="185"/>
    </row>
    <row r="15" spans="2:8" ht="21" customHeight="1">
      <c r="B15" s="259"/>
      <c r="C15" s="184"/>
      <c r="D15" s="185"/>
      <c r="E15" s="185"/>
      <c r="F15" s="186"/>
      <c r="G15" s="185"/>
      <c r="H15" s="185"/>
    </row>
    <row r="16" spans="2:8" ht="21" customHeight="1">
      <c r="B16" s="259"/>
      <c r="C16" s="184"/>
      <c r="D16" s="185"/>
      <c r="E16" s="185"/>
      <c r="F16" s="186"/>
      <c r="G16" s="185"/>
      <c r="H16" s="185"/>
    </row>
    <row r="17" spans="2:8" ht="21" customHeight="1">
      <c r="B17" s="259"/>
      <c r="C17" s="184"/>
      <c r="D17" s="185"/>
      <c r="E17" s="185"/>
      <c r="F17" s="186"/>
      <c r="G17" s="185"/>
      <c r="H17" s="185"/>
    </row>
    <row r="18" spans="2:8" ht="21" customHeight="1">
      <c r="B18" s="259"/>
      <c r="C18" s="184"/>
      <c r="D18" s="185"/>
      <c r="E18" s="185"/>
      <c r="F18" s="186"/>
      <c r="G18" s="185"/>
      <c r="H18" s="185"/>
    </row>
    <row r="19" spans="2:8" ht="21" customHeight="1">
      <c r="B19" s="259"/>
      <c r="C19" s="184"/>
      <c r="D19" s="185"/>
      <c r="E19" s="185"/>
      <c r="F19" s="186"/>
      <c r="G19" s="185"/>
      <c r="H19" s="185"/>
    </row>
    <row r="20" spans="2:8" ht="21" customHeight="1">
      <c r="B20" s="259"/>
      <c r="C20" s="184"/>
      <c r="D20" s="185"/>
      <c r="E20" s="185"/>
      <c r="F20" s="186"/>
      <c r="G20" s="185"/>
      <c r="H20" s="185"/>
    </row>
    <row r="21" spans="2:8" ht="21" customHeight="1">
      <c r="B21" s="259"/>
      <c r="C21" s="184"/>
      <c r="D21" s="185"/>
      <c r="E21" s="185"/>
      <c r="F21" s="186"/>
      <c r="G21" s="185"/>
      <c r="H21" s="185"/>
    </row>
    <row r="22" spans="2:8" ht="21" customHeight="1">
      <c r="B22" s="259"/>
      <c r="C22" s="184"/>
      <c r="D22" s="185"/>
      <c r="E22" s="185"/>
      <c r="F22" s="186"/>
      <c r="G22" s="185"/>
      <c r="H22" s="185"/>
    </row>
    <row r="23" spans="2:8" ht="21" customHeight="1">
      <c r="B23" s="259"/>
      <c r="C23" s="184"/>
      <c r="D23" s="185"/>
      <c r="E23" s="185"/>
      <c r="F23" s="186"/>
      <c r="G23" s="185"/>
      <c r="H23" s="185"/>
    </row>
    <row r="24" spans="2:8" ht="21" customHeight="1">
      <c r="B24" s="259"/>
      <c r="C24" s="184"/>
      <c r="D24" s="185"/>
      <c r="E24" s="185"/>
      <c r="F24" s="186"/>
      <c r="G24" s="185"/>
      <c r="H24" s="185"/>
    </row>
    <row r="25" spans="2:8" ht="21" customHeight="1">
      <c r="B25" s="259"/>
      <c r="C25" s="184"/>
      <c r="D25" s="185"/>
      <c r="E25" s="185"/>
      <c r="F25" s="186"/>
      <c r="G25" s="185"/>
      <c r="H25" s="185"/>
    </row>
    <row r="26" spans="2:8" ht="21" customHeight="1">
      <c r="B26" s="259"/>
      <c r="C26" s="184"/>
      <c r="D26" s="185"/>
      <c r="E26" s="185"/>
      <c r="F26" s="186"/>
      <c r="G26" s="185"/>
      <c r="H26" s="185"/>
    </row>
    <row r="27" spans="2:8" ht="21" customHeight="1">
      <c r="B27" s="259"/>
      <c r="C27" s="184"/>
      <c r="D27" s="185"/>
      <c r="E27" s="185"/>
      <c r="F27" s="186"/>
      <c r="G27" s="185"/>
      <c r="H27" s="185"/>
    </row>
    <row r="28" spans="2:8" ht="21" customHeight="1">
      <c r="B28" s="259"/>
      <c r="C28" s="184"/>
      <c r="D28" s="185"/>
      <c r="E28" s="185"/>
      <c r="F28" s="186"/>
      <c r="G28" s="185"/>
      <c r="H28" s="185"/>
    </row>
    <row r="29" spans="2:8" ht="21" customHeight="1">
      <c r="B29" s="259"/>
      <c r="C29" s="184"/>
      <c r="D29" s="185"/>
      <c r="E29" s="185"/>
      <c r="F29" s="186"/>
      <c r="G29" s="185"/>
      <c r="H29" s="185"/>
    </row>
    <row r="30" spans="2:8" ht="21" customHeight="1">
      <c r="B30" s="259"/>
      <c r="C30" s="184"/>
      <c r="D30" s="185"/>
      <c r="E30" s="185"/>
      <c r="F30" s="186"/>
      <c r="G30" s="185"/>
      <c r="H30" s="185"/>
    </row>
    <row r="31" spans="2:8" ht="21" customHeight="1">
      <c r="B31" s="259"/>
      <c r="C31" s="184"/>
      <c r="D31" s="185"/>
      <c r="E31" s="185"/>
      <c r="F31" s="186"/>
      <c r="G31" s="185"/>
      <c r="H31" s="185"/>
    </row>
    <row r="32" spans="2:8" ht="21" customHeight="1">
      <c r="B32" s="259"/>
      <c r="C32" s="184"/>
      <c r="D32" s="185"/>
      <c r="E32" s="185"/>
      <c r="F32" s="186"/>
      <c r="G32" s="185"/>
      <c r="H32" s="185"/>
    </row>
    <row r="33" spans="2:8" ht="21" customHeight="1">
      <c r="B33" s="259"/>
      <c r="C33" s="184"/>
      <c r="D33" s="185"/>
      <c r="E33" s="185"/>
      <c r="F33" s="186"/>
      <c r="G33" s="185"/>
      <c r="H33" s="185"/>
    </row>
    <row r="34" spans="2:8" ht="21" customHeight="1">
      <c r="B34" s="259"/>
      <c r="C34" s="184"/>
      <c r="D34" s="185"/>
      <c r="E34" s="185"/>
      <c r="F34" s="186"/>
      <c r="G34" s="185"/>
      <c r="H34" s="185"/>
    </row>
    <row r="35" spans="2:8" ht="21" customHeight="1">
      <c r="B35" s="259"/>
      <c r="C35" s="184"/>
      <c r="D35" s="185"/>
      <c r="E35" s="185"/>
      <c r="F35" s="186"/>
      <c r="G35" s="185"/>
      <c r="H35" s="185"/>
    </row>
    <row r="36" spans="2:8" ht="21" customHeight="1">
      <c r="B36" s="259"/>
      <c r="C36" s="184"/>
      <c r="D36" s="185"/>
      <c r="E36" s="185"/>
      <c r="F36" s="186"/>
      <c r="G36" s="185"/>
      <c r="H36" s="185"/>
    </row>
    <row r="37" spans="2:8" ht="21" customHeight="1">
      <c r="B37" s="259"/>
      <c r="C37" s="184"/>
      <c r="D37" s="185"/>
      <c r="E37" s="185"/>
      <c r="F37" s="186"/>
      <c r="G37" s="185"/>
      <c r="H37" s="185"/>
    </row>
    <row r="38" spans="2:8" ht="21" customHeight="1">
      <c r="B38" s="259"/>
      <c r="C38" s="184"/>
      <c r="D38" s="185"/>
      <c r="E38" s="185"/>
      <c r="F38" s="186"/>
      <c r="G38" s="185"/>
      <c r="H38" s="185"/>
    </row>
    <row r="39" spans="2:8" ht="21" customHeight="1">
      <c r="B39" s="259"/>
      <c r="C39" s="184"/>
      <c r="D39" s="185"/>
      <c r="E39" s="185"/>
      <c r="F39" s="186"/>
      <c r="G39" s="185"/>
      <c r="H39" s="185"/>
    </row>
    <row r="40" spans="2:8" ht="21" customHeight="1">
      <c r="B40" s="259"/>
      <c r="C40" s="184"/>
      <c r="D40" s="185"/>
      <c r="E40" s="185"/>
      <c r="F40" s="186"/>
      <c r="G40" s="185"/>
      <c r="H40" s="185"/>
    </row>
    <row r="41" spans="2:8" ht="21" customHeight="1">
      <c r="B41" s="259"/>
      <c r="C41" s="184"/>
      <c r="D41" s="185"/>
      <c r="E41" s="185"/>
      <c r="F41" s="186"/>
      <c r="G41" s="185"/>
      <c r="H41" s="185"/>
    </row>
    <row r="42" spans="2:8" ht="21" customHeight="1">
      <c r="B42" s="259"/>
      <c r="C42" s="184"/>
      <c r="D42" s="185"/>
      <c r="E42" s="185"/>
      <c r="F42" s="186"/>
      <c r="G42" s="185"/>
      <c r="H42" s="185"/>
    </row>
    <row r="43" spans="2:8" ht="21" customHeight="1">
      <c r="B43" s="259"/>
      <c r="C43" s="184"/>
      <c r="D43" s="185"/>
      <c r="E43" s="185"/>
      <c r="F43" s="186"/>
      <c r="G43" s="185"/>
      <c r="H43" s="185"/>
    </row>
    <row r="44" spans="2:8" ht="21" customHeight="1">
      <c r="B44" s="259"/>
      <c r="C44" s="184"/>
      <c r="D44" s="185"/>
      <c r="E44" s="185"/>
      <c r="F44" s="186"/>
      <c r="G44" s="185"/>
      <c r="H44" s="185"/>
    </row>
    <row r="45" spans="2:8" ht="21" customHeight="1">
      <c r="B45" s="259"/>
      <c r="C45" s="184"/>
      <c r="D45" s="185"/>
      <c r="E45" s="185"/>
      <c r="F45" s="186"/>
      <c r="G45" s="185"/>
      <c r="H45" s="185"/>
    </row>
    <row r="46" spans="2:8" ht="21" customHeight="1">
      <c r="B46" s="259"/>
      <c r="C46" s="184"/>
      <c r="D46" s="185"/>
      <c r="E46" s="185"/>
      <c r="F46" s="186"/>
      <c r="G46" s="185"/>
      <c r="H46" s="185"/>
    </row>
    <row r="47" spans="2:8" ht="21" customHeight="1">
      <c r="B47" s="259"/>
      <c r="C47" s="184"/>
      <c r="D47" s="185"/>
      <c r="E47" s="185"/>
      <c r="F47" s="186"/>
      <c r="G47" s="185"/>
      <c r="H47" s="185"/>
    </row>
    <row r="48" spans="2:8" ht="21" customHeight="1">
      <c r="B48" s="259"/>
      <c r="C48" s="184"/>
      <c r="D48" s="185"/>
      <c r="E48" s="185"/>
      <c r="F48" s="186"/>
      <c r="G48" s="185"/>
      <c r="H48" s="185"/>
    </row>
    <row r="49" spans="2:8" ht="21" customHeight="1">
      <c r="B49" s="259"/>
      <c r="C49" s="184"/>
      <c r="D49" s="185"/>
      <c r="E49" s="185"/>
      <c r="F49" s="186"/>
      <c r="G49" s="185"/>
      <c r="H49" s="185"/>
    </row>
    <row r="50" spans="2:8" ht="21" customHeight="1">
      <c r="B50" s="259"/>
      <c r="C50" s="184"/>
      <c r="D50" s="185"/>
      <c r="E50" s="185"/>
      <c r="F50" s="186"/>
      <c r="G50" s="185"/>
      <c r="H50" s="185"/>
    </row>
    <row r="51" spans="2:8" ht="21" customHeight="1">
      <c r="B51" s="259"/>
      <c r="C51" s="184"/>
      <c r="D51" s="185"/>
      <c r="E51" s="185"/>
      <c r="F51" s="186"/>
      <c r="G51" s="185"/>
      <c r="H51" s="185"/>
    </row>
    <row r="52" spans="2:8" ht="21" customHeight="1">
      <c r="B52" s="259"/>
      <c r="C52" s="184"/>
      <c r="D52" s="185"/>
      <c r="E52" s="185"/>
      <c r="F52" s="186"/>
      <c r="G52" s="185"/>
      <c r="H52" s="185"/>
    </row>
    <row r="53" spans="2:8" ht="21" customHeight="1">
      <c r="B53" s="259"/>
      <c r="C53" s="184"/>
      <c r="D53" s="185"/>
      <c r="E53" s="185"/>
      <c r="F53" s="186"/>
      <c r="G53" s="185"/>
      <c r="H53" s="185"/>
    </row>
    <row r="54" spans="2:8" ht="21" customHeight="1">
      <c r="B54" s="259"/>
      <c r="C54" s="184"/>
      <c r="D54" s="185"/>
      <c r="E54" s="185"/>
      <c r="F54" s="186"/>
      <c r="G54" s="185"/>
      <c r="H54" s="185"/>
    </row>
    <row r="55" spans="2:8" ht="21" customHeight="1">
      <c r="B55" s="259"/>
      <c r="C55" s="184"/>
      <c r="D55" s="185"/>
      <c r="E55" s="185"/>
      <c r="F55" s="186"/>
      <c r="G55" s="185"/>
      <c r="H55" s="185"/>
    </row>
    <row r="56" spans="2:8" ht="21" customHeight="1">
      <c r="B56" s="259"/>
      <c r="C56" s="184"/>
      <c r="D56" s="185"/>
      <c r="E56" s="185"/>
      <c r="F56" s="186"/>
      <c r="G56" s="185"/>
      <c r="H56" s="185"/>
    </row>
    <row r="57" spans="2:8" ht="21" customHeight="1">
      <c r="B57" s="259"/>
      <c r="C57" s="184"/>
      <c r="D57" s="185"/>
      <c r="E57" s="185"/>
      <c r="F57" s="186"/>
      <c r="G57" s="185"/>
      <c r="H57" s="185"/>
    </row>
    <row r="58" spans="2:8" ht="21" customHeight="1">
      <c r="B58" s="259"/>
      <c r="C58" s="184"/>
      <c r="D58" s="185"/>
      <c r="E58" s="185"/>
      <c r="F58" s="186"/>
      <c r="G58" s="185"/>
      <c r="H58" s="185"/>
    </row>
  </sheetData>
  <sheetProtection/>
  <mergeCells count="2">
    <mergeCell ref="B2:H2"/>
    <mergeCell ref="B4:H4"/>
  </mergeCells>
  <printOptions/>
  <pageMargins left="0.5905511811023623" right="0.1968503937007874" top="0.1968503937007874" bottom="0" header="0" footer="0"/>
  <pageSetup orientation="portrait" paperSize="9"/>
  <rowBreaks count="1" manualBreakCount="1">
    <brk id="26" max="255" man="1"/>
  </rowBreaks>
  <colBreaks count="1" manualBreakCount="1">
    <brk id="8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W28"/>
  <sheetViews>
    <sheetView showGridLines="0" zoomScale="110" zoomScaleNormal="110" workbookViewId="0" topLeftCell="A14">
      <selection activeCell="A1" sqref="A1"/>
    </sheetView>
  </sheetViews>
  <sheetFormatPr defaultColWidth="11.57421875" defaultRowHeight="12.75"/>
  <cols>
    <col min="1" max="1" width="2.7109375" style="257" customWidth="1"/>
    <col min="2" max="2" width="2.7109375" style="179" customWidth="1"/>
    <col min="3" max="3" width="5.140625" style="89" customWidth="1"/>
    <col min="4" max="4" width="8.421875" style="89" customWidth="1"/>
    <col min="5" max="5" width="5.140625" style="89" customWidth="1"/>
    <col min="6" max="6" width="38.421875" style="89" bestFit="1" customWidth="1"/>
    <col min="7" max="7" width="7.140625" style="89" customWidth="1"/>
    <col min="8" max="8" width="6.8515625" style="89" customWidth="1"/>
    <col min="9" max="9" width="8.00390625" style="89" customWidth="1"/>
    <col min="10" max="12" width="7.140625" style="89" customWidth="1"/>
    <col min="13" max="13" width="7.140625" style="280" customWidth="1"/>
    <col min="14" max="14" width="11.7109375" style="295" hidden="1" customWidth="1"/>
    <col min="15" max="15" width="7.421875" style="133" hidden="1" customWidth="1"/>
    <col min="16" max="16" width="24.8515625" style="137" hidden="1" customWidth="1"/>
    <col min="17" max="17" width="7.140625" style="135" hidden="1" customWidth="1"/>
    <col min="18" max="22" width="5.140625" style="133" hidden="1" customWidth="1"/>
    <col min="23" max="23" width="1.7109375" style="136" hidden="1" customWidth="1"/>
    <col min="24" max="24" width="24.8515625" style="135" hidden="1" customWidth="1"/>
    <col min="25" max="25" width="7.140625" style="133" hidden="1" customWidth="1"/>
    <col min="26" max="29" width="5.140625" style="133" hidden="1" customWidth="1"/>
    <col min="30" max="30" width="1.7109375" style="136" hidden="1" customWidth="1"/>
    <col min="31" max="32" width="2.8515625" style="183" hidden="1" customWidth="1"/>
    <col min="33" max="33" width="30.00390625" style="280" hidden="1" customWidth="1"/>
    <col min="34" max="34" width="3.00390625" style="280" hidden="1" customWidth="1"/>
    <col min="35" max="35" width="5.7109375" style="280" hidden="1" customWidth="1"/>
    <col min="36" max="36" width="6.140625" style="280" hidden="1" customWidth="1"/>
    <col min="37" max="38" width="5.7109375" style="280" hidden="1" customWidth="1"/>
    <col min="39" max="39" width="1.7109375" style="136" hidden="1" customWidth="1"/>
    <col min="40" max="40" width="2.8515625" style="182" hidden="1" customWidth="1"/>
    <col min="41" max="41" width="2.8515625" style="183" hidden="1" customWidth="1"/>
    <col min="42" max="42" width="31.00390625" style="280" hidden="1" customWidth="1"/>
    <col min="43" max="43" width="3.00390625" style="280" hidden="1" customWidth="1"/>
    <col min="44" max="44" width="5.7109375" style="280" hidden="1" customWidth="1"/>
    <col min="45" max="45" width="6.140625" style="280" hidden="1" customWidth="1"/>
    <col min="46" max="47" width="5.7109375" style="280" hidden="1" customWidth="1"/>
    <col min="48" max="48" width="1.7109375" style="136" hidden="1" customWidth="1"/>
    <col min="49" max="49" width="3.7109375" style="280" hidden="1" customWidth="1"/>
    <col min="50" max="50" width="22.00390625" style="89" customWidth="1"/>
    <col min="51" max="16384" width="11.421875" style="89" customWidth="1"/>
  </cols>
  <sheetData>
    <row r="1" spans="1:49" s="142" customFormat="1" ht="9.75" customHeight="1">
      <c r="A1" s="260"/>
      <c r="B1" s="181"/>
      <c r="M1" s="277"/>
      <c r="N1" s="291"/>
      <c r="O1" s="183"/>
      <c r="P1" s="242"/>
      <c r="Q1" s="183"/>
      <c r="R1" s="183"/>
      <c r="S1" s="183"/>
      <c r="T1" s="183"/>
      <c r="U1" s="183"/>
      <c r="V1" s="183"/>
      <c r="W1" s="183"/>
      <c r="X1" s="182"/>
      <c r="Y1" s="183"/>
      <c r="Z1" s="183"/>
      <c r="AA1" s="183"/>
      <c r="AB1" s="183"/>
      <c r="AC1" s="183"/>
      <c r="AD1" s="183"/>
      <c r="AE1" s="183"/>
      <c r="AF1" s="183"/>
      <c r="AG1" s="277"/>
      <c r="AH1" s="277"/>
      <c r="AI1" s="277"/>
      <c r="AJ1" s="277"/>
      <c r="AK1" s="277"/>
      <c r="AL1" s="277"/>
      <c r="AM1" s="183"/>
      <c r="AN1" s="183"/>
      <c r="AO1" s="183"/>
      <c r="AP1" s="277"/>
      <c r="AQ1" s="277"/>
      <c r="AR1" s="277"/>
      <c r="AS1" s="277"/>
      <c r="AT1" s="277"/>
      <c r="AU1" s="277"/>
      <c r="AV1" s="183"/>
      <c r="AW1" s="277"/>
    </row>
    <row r="2" spans="3:42" ht="26.25">
      <c r="C2" s="663" t="s">
        <v>173</v>
      </c>
      <c r="D2" s="663"/>
      <c r="E2" s="663"/>
      <c r="F2" s="663"/>
      <c r="G2" s="663"/>
      <c r="H2" s="663"/>
      <c r="I2" s="663"/>
      <c r="J2" s="663"/>
      <c r="K2" s="663"/>
      <c r="L2" s="663"/>
      <c r="M2" s="278"/>
      <c r="N2" s="292"/>
      <c r="AG2" s="279" t="s">
        <v>277</v>
      </c>
      <c r="AP2" s="279" t="s">
        <v>278</v>
      </c>
    </row>
    <row r="3" spans="3:46" ht="27.75" customHeight="1">
      <c r="C3" s="656" t="s">
        <v>335</v>
      </c>
      <c r="D3" s="642"/>
      <c r="E3" s="642"/>
      <c r="F3" s="642"/>
      <c r="G3" s="649"/>
      <c r="H3" s="649"/>
      <c r="I3" s="649"/>
      <c r="J3" s="649"/>
      <c r="K3" s="649"/>
      <c r="L3" s="649"/>
      <c r="M3" s="281"/>
      <c r="N3" s="293"/>
      <c r="AG3" s="282" t="s">
        <v>350</v>
      </c>
      <c r="AI3" s="283" t="s">
        <v>339</v>
      </c>
      <c r="AJ3" s="284" t="s">
        <v>340</v>
      </c>
      <c r="AK3" s="285" t="s">
        <v>341</v>
      </c>
      <c r="AP3" s="282" t="s">
        <v>349</v>
      </c>
      <c r="AR3" s="283" t="s">
        <v>342</v>
      </c>
      <c r="AS3" s="284" t="s">
        <v>343</v>
      </c>
      <c r="AT3" s="285" t="s">
        <v>344</v>
      </c>
    </row>
    <row r="4" spans="3:48" ht="9" customHeight="1"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286"/>
      <c r="N4" s="294"/>
      <c r="Q4" s="133"/>
      <c r="W4" s="134"/>
      <c r="X4" s="133"/>
      <c r="AD4" s="134"/>
      <c r="AM4" s="134"/>
      <c r="AN4" s="183"/>
      <c r="AV4" s="134"/>
    </row>
    <row r="5" ht="9" customHeight="1"/>
    <row r="6" spans="3:33" ht="26.25" customHeight="1" thickBot="1">
      <c r="C6" s="298"/>
      <c r="D6" s="298"/>
      <c r="E6" s="298" t="s">
        <v>345</v>
      </c>
      <c r="F6" s="298" t="s">
        <v>262</v>
      </c>
      <c r="G6" s="298" t="s">
        <v>263</v>
      </c>
      <c r="H6" s="298" t="s">
        <v>264</v>
      </c>
      <c r="I6" s="298" t="s">
        <v>309</v>
      </c>
      <c r="J6" s="298" t="s">
        <v>266</v>
      </c>
      <c r="K6" s="298" t="s">
        <v>301</v>
      </c>
      <c r="L6" s="298" t="s">
        <v>271</v>
      </c>
      <c r="O6" s="133" t="s">
        <v>270</v>
      </c>
      <c r="P6" s="137" t="s">
        <v>274</v>
      </c>
      <c r="Q6" s="133" t="s">
        <v>263</v>
      </c>
      <c r="R6" s="133" t="s">
        <v>264</v>
      </c>
      <c r="S6" s="133" t="s">
        <v>265</v>
      </c>
      <c r="T6" s="133" t="s">
        <v>266</v>
      </c>
      <c r="U6" s="133" t="s">
        <v>267</v>
      </c>
      <c r="X6" s="137" t="s">
        <v>275</v>
      </c>
      <c r="Y6" s="133" t="s">
        <v>263</v>
      </c>
      <c r="Z6" s="133" t="s">
        <v>264</v>
      </c>
      <c r="AA6" s="133" t="s">
        <v>265</v>
      </c>
      <c r="AB6" s="133" t="s">
        <v>266</v>
      </c>
      <c r="AC6" s="133" t="s">
        <v>267</v>
      </c>
      <c r="AG6" s="280" t="s">
        <v>304</v>
      </c>
    </row>
    <row r="7" spans="2:47" ht="24" customHeight="1" thickTop="1">
      <c r="B7" s="256">
        <f aca="true" t="shared" si="0" ref="B7:B14">O7</f>
        <v>2</v>
      </c>
      <c r="C7" s="657" t="s">
        <v>333</v>
      </c>
      <c r="D7" s="204">
        <v>0.4166666666666667</v>
      </c>
      <c r="E7" s="91">
        <v>1</v>
      </c>
      <c r="F7" s="296" t="str">
        <f>VLOOKUP(E7,'Clasificación 8'!$B$7:$C$14,2,0)</f>
        <v>ESTEVE MATA PARDO</v>
      </c>
      <c r="G7" s="299">
        <v>37</v>
      </c>
      <c r="H7" s="664">
        <v>41</v>
      </c>
      <c r="I7" s="300">
        <f>IF(H7="","",G7/H7)</f>
        <v>0.9024390243902439</v>
      </c>
      <c r="J7" s="299">
        <v>7</v>
      </c>
      <c r="K7" s="301">
        <f>IF(H7="","",IF(G7&lt;G8,0,IF(G7&gt;G8,2,1)))</f>
        <v>0</v>
      </c>
      <c r="L7" s="305" t="str">
        <f aca="true" t="shared" si="1" ref="L7:L14">IF(ISERROR(I7),"",O7&amp;"º")</f>
        <v>2º</v>
      </c>
      <c r="M7" s="287"/>
      <c r="N7" s="112">
        <f aca="true" t="shared" si="2" ref="N7:N14">IF(ISERROR(I7),"",SUM(K7,I7/1000,J7/1000000))</f>
        <v>0.0009094390243902439</v>
      </c>
      <c r="O7" s="359">
        <f>IF(ISERROR(I7),"",RANK(N7,N7:N8))</f>
        <v>2</v>
      </c>
      <c r="P7" s="376">
        <f>IF(O7=1,VLOOKUP(1,B7:K8,5,0),"")</f>
      </c>
      <c r="Q7" s="355">
        <f>IF(O7=1,VLOOKUP(1,B7:K8,6,0),"")</f>
      </c>
      <c r="R7" s="355">
        <f>IF(O7=1,H7,"")</f>
      </c>
      <c r="S7" s="356">
        <f>IF(O7=1,VLOOKUP(1,B7:K8,8,0),"")</f>
      </c>
      <c r="T7" s="355">
        <f>IF(O7=1,VLOOKUP(1,B7:K8,9,0),"")</f>
      </c>
      <c r="U7" s="357">
        <f>IF(O7=1,VLOOKUP(1,B7:K8,10,0),"")</f>
      </c>
      <c r="X7" s="354" t="str">
        <f>IF(O7=2,VLOOKUP(2,B7:K8,5,0),"")</f>
        <v>ESTEVE MATA PARDO</v>
      </c>
      <c r="Y7" s="355">
        <f>IF(O7=2,VLOOKUP(2,B7:K8,6,0),"")</f>
        <v>37</v>
      </c>
      <c r="Z7" s="355">
        <f>IF(O7=2,H7,"")</f>
        <v>41</v>
      </c>
      <c r="AA7" s="356">
        <f>IF(O7=2,VLOOKUP(2,B7:K8,8,0),"")</f>
        <v>0.9024390243902439</v>
      </c>
      <c r="AB7" s="355">
        <f>IF(O7=2,VLOOKUP(2,B7:K8,9,0),"")</f>
        <v>7</v>
      </c>
      <c r="AC7" s="357">
        <f>IF(O7=2,VLOOKUP(2,B7:K8,10,0),"")</f>
        <v>0</v>
      </c>
      <c r="AF7" s="375">
        <v>2</v>
      </c>
      <c r="AG7" s="338" t="s">
        <v>319</v>
      </c>
      <c r="AH7" s="339" t="s">
        <v>319</v>
      </c>
      <c r="AI7" s="339" t="s">
        <v>319</v>
      </c>
      <c r="AJ7" s="343" t="s">
        <v>319</v>
      </c>
      <c r="AK7" s="339" t="s">
        <v>319</v>
      </c>
      <c r="AL7" s="340" t="s">
        <v>319</v>
      </c>
      <c r="AO7" s="183">
        <v>1</v>
      </c>
      <c r="AP7" s="369" t="s">
        <v>319</v>
      </c>
      <c r="AQ7" s="339" t="s">
        <v>319</v>
      </c>
      <c r="AR7" s="339" t="s">
        <v>319</v>
      </c>
      <c r="AS7" s="339" t="s">
        <v>319</v>
      </c>
      <c r="AT7" s="339" t="s">
        <v>319</v>
      </c>
      <c r="AU7" s="340" t="s">
        <v>319</v>
      </c>
    </row>
    <row r="8" spans="2:47" ht="24" customHeight="1" thickBot="1">
      <c r="B8" s="256">
        <f t="shared" si="0"/>
        <v>1</v>
      </c>
      <c r="C8" s="657"/>
      <c r="D8" s="205" t="s">
        <v>310</v>
      </c>
      <c r="E8" s="102">
        <v>8</v>
      </c>
      <c r="F8" s="297" t="str">
        <f>VLOOKUP(E8,'Clasificación 8'!$B$7:$C$14,2,0)</f>
        <v>XAVIER MINGUELL ROSELLÓ</v>
      </c>
      <c r="G8" s="302">
        <v>40</v>
      </c>
      <c r="H8" s="665"/>
      <c r="I8" s="303">
        <f>IF(H7="","",G8/H7)</f>
        <v>0.975609756097561</v>
      </c>
      <c r="J8" s="302">
        <v>7</v>
      </c>
      <c r="K8" s="304">
        <f>IF(H7="","",IF(G8&lt;G7,0,IF(G8&gt;G7,2,1)))</f>
        <v>2</v>
      </c>
      <c r="L8" s="306" t="str">
        <f t="shared" si="1"/>
        <v>1º</v>
      </c>
      <c r="M8" s="287"/>
      <c r="N8" s="112">
        <f t="shared" si="2"/>
        <v>2.0009826097560977</v>
      </c>
      <c r="O8" s="359">
        <f>IF(ISERROR(I8),"",RANK(N8,N7:N8))</f>
        <v>1</v>
      </c>
      <c r="P8" s="267" t="str">
        <f>IF(O8=1,VLOOKUP(1,B7:K8,5,0),"")</f>
        <v>XAVIER MINGUELL ROSELLÓ</v>
      </c>
      <c r="Q8" s="268">
        <f>IF(O8=1,VLOOKUP(1,B7:K8,6,0),"")</f>
        <v>40</v>
      </c>
      <c r="R8" s="268">
        <f>IF(O8=1,H7,"")</f>
        <v>41</v>
      </c>
      <c r="S8" s="269">
        <f>IF(O8=1,VLOOKUP(1,B7:K8,8,0),"")</f>
        <v>0.975609756097561</v>
      </c>
      <c r="T8" s="268">
        <f>IF(O8=1,VLOOKUP(1,B7:K8,9,0),"")</f>
        <v>7</v>
      </c>
      <c r="U8" s="359">
        <f>IF(O8=1,VLOOKUP(1,B7:K8,10,0),"")</f>
        <v>2</v>
      </c>
      <c r="X8" s="358">
        <f>IF(O8=2,VLOOKUP(2,B8:K9,5,0),"")</f>
      </c>
      <c r="Y8" s="268">
        <f>IF(O8=2,VLOOKUP(2,B8:K9,6,0),"")</f>
      </c>
      <c r="Z8" s="268">
        <f>IF(O8=2,H8,"")</f>
      </c>
      <c r="AA8" s="269">
        <f>IF(O8=2,VLOOKUP(2,B8:K9,8,0),"")</f>
      </c>
      <c r="AB8" s="268">
        <f>IF(O8=2,VLOOKUP(2,B8:K9,9,0),"")</f>
      </c>
      <c r="AC8" s="359">
        <f>IF(O8=2,VLOOKUP(2,B8:K9,10,0),"")</f>
      </c>
      <c r="AF8" s="375">
        <v>2</v>
      </c>
      <c r="AG8" s="341" t="s">
        <v>319</v>
      </c>
      <c r="AH8" s="290" t="s">
        <v>319</v>
      </c>
      <c r="AI8" s="290" t="s">
        <v>319</v>
      </c>
      <c r="AJ8" s="344" t="s">
        <v>319</v>
      </c>
      <c r="AK8" s="290" t="s">
        <v>319</v>
      </c>
      <c r="AL8" s="342" t="s">
        <v>319</v>
      </c>
      <c r="AO8" s="183">
        <v>1</v>
      </c>
      <c r="AP8" s="370" t="s">
        <v>319</v>
      </c>
      <c r="AQ8" s="290" t="s">
        <v>319</v>
      </c>
      <c r="AR8" s="290" t="s">
        <v>319</v>
      </c>
      <c r="AS8" s="290" t="s">
        <v>319</v>
      </c>
      <c r="AT8" s="290" t="s">
        <v>319</v>
      </c>
      <c r="AU8" s="342" t="s">
        <v>319</v>
      </c>
    </row>
    <row r="9" spans="2:47" ht="24" customHeight="1" thickTop="1">
      <c r="B9" s="256">
        <f t="shared" si="0"/>
        <v>1</v>
      </c>
      <c r="C9" s="657"/>
      <c r="D9" s="204">
        <v>0.4166666666666667</v>
      </c>
      <c r="E9" s="104">
        <v>2</v>
      </c>
      <c r="F9" s="296" t="str">
        <f>VLOOKUP(E9,'Clasificación 8'!$B$7:$C$14,2,0)</f>
        <v>RICARDO GARCÍA ALARCÓN</v>
      </c>
      <c r="G9" s="299">
        <v>40</v>
      </c>
      <c r="H9" s="664">
        <v>24</v>
      </c>
      <c r="I9" s="300">
        <f>IF(H9="","",G9/H9)</f>
        <v>1.6666666666666667</v>
      </c>
      <c r="J9" s="299">
        <v>14</v>
      </c>
      <c r="K9" s="301">
        <f>IF(H9="","",IF(G9&lt;G10,0,IF(G9&gt;G10,2,1)))</f>
        <v>2</v>
      </c>
      <c r="L9" s="305" t="str">
        <f t="shared" si="1"/>
        <v>1º</v>
      </c>
      <c r="M9" s="287"/>
      <c r="N9" s="112">
        <f t="shared" si="2"/>
        <v>2.0016806666666667</v>
      </c>
      <c r="O9" s="359">
        <f>IF(ISERROR(I9),"",RANK(N9,N9:N10))</f>
        <v>1</v>
      </c>
      <c r="P9" s="267" t="str">
        <f>IF(O9=1,VLOOKUP(1,B9:K10,5,0),"")</f>
        <v>RICARDO GARCÍA ALARCÓN</v>
      </c>
      <c r="Q9" s="268">
        <f>IF(O9=1,VLOOKUP(1,B9:K10,6,0),"")</f>
        <v>40</v>
      </c>
      <c r="R9" s="268">
        <f>IF(O9=1,H9,"")</f>
        <v>24</v>
      </c>
      <c r="S9" s="269">
        <f>IF(O9=1,VLOOKUP(1,B9:K10,8,0),"")</f>
        <v>1.6666666666666667</v>
      </c>
      <c r="T9" s="268">
        <f>IF(O9=1,VLOOKUP(1,B9:K10,9,0),"")</f>
        <v>14</v>
      </c>
      <c r="U9" s="359">
        <f>IF(O9=1,VLOOKUP(1,B9:K10,10,0),"")</f>
        <v>2</v>
      </c>
      <c r="X9" s="360">
        <f>IF(O9=2,VLOOKUP(2,B8:K9,5,0),"")</f>
      </c>
      <c r="Y9" s="268">
        <f>IF(O9=2,VLOOKUP(2,B8:K9,6,0),"")</f>
      </c>
      <c r="Z9" s="268">
        <f>IF(O9=2,H8,"")</f>
      </c>
      <c r="AA9" s="269">
        <f>IF(O9=2,VLOOKUP(2,B8:K9,8,0),"")</f>
      </c>
      <c r="AB9" s="268">
        <f>IF(O9=2,VLOOKUP(2,B8:K9,9,0),"")</f>
      </c>
      <c r="AC9" s="359">
        <f>IF(O9=2,VLOOKUP(2,B8:K9,10,0),"")</f>
      </c>
      <c r="AF9" s="375">
        <v>2</v>
      </c>
      <c r="AG9" s="341" t="s">
        <v>319</v>
      </c>
      <c r="AH9" s="290" t="s">
        <v>319</v>
      </c>
      <c r="AI9" s="290" t="s">
        <v>319</v>
      </c>
      <c r="AJ9" s="344" t="s">
        <v>319</v>
      </c>
      <c r="AK9" s="290" t="s">
        <v>319</v>
      </c>
      <c r="AL9" s="342" t="s">
        <v>319</v>
      </c>
      <c r="AO9" s="183">
        <v>1</v>
      </c>
      <c r="AP9" s="370" t="s">
        <v>319</v>
      </c>
      <c r="AQ9" s="290" t="s">
        <v>319</v>
      </c>
      <c r="AR9" s="290" t="s">
        <v>319</v>
      </c>
      <c r="AS9" s="290" t="s">
        <v>319</v>
      </c>
      <c r="AT9" s="290" t="s">
        <v>319</v>
      </c>
      <c r="AU9" s="342" t="s">
        <v>319</v>
      </c>
    </row>
    <row r="10" spans="2:47" ht="24" customHeight="1" thickBot="1">
      <c r="B10" s="256">
        <f t="shared" si="0"/>
        <v>2</v>
      </c>
      <c r="C10" s="657"/>
      <c r="D10" s="206" t="s">
        <v>306</v>
      </c>
      <c r="E10" s="102">
        <v>7</v>
      </c>
      <c r="F10" s="297" t="str">
        <f>VLOOKUP(E10,'Clasificación 8'!$B$7:$C$14,2,0)</f>
        <v>ARMANDO MORENO CORTÉS</v>
      </c>
      <c r="G10" s="307">
        <v>26</v>
      </c>
      <c r="H10" s="665"/>
      <c r="I10" s="303">
        <f>IF(H9="","",G10/H9)</f>
        <v>1.0833333333333333</v>
      </c>
      <c r="J10" s="307">
        <v>4</v>
      </c>
      <c r="K10" s="308">
        <f>IF(H9="","",IF(G10&lt;G9,0,IF(G10&gt;G9,2,1)))</f>
        <v>0</v>
      </c>
      <c r="L10" s="306" t="str">
        <f t="shared" si="1"/>
        <v>2º</v>
      </c>
      <c r="M10" s="287"/>
      <c r="N10" s="112">
        <f t="shared" si="2"/>
        <v>0.0010873333333333334</v>
      </c>
      <c r="O10" s="359">
        <f>IF(ISERROR(I10),"",RANK(N10,N9:N10))</f>
        <v>2</v>
      </c>
      <c r="P10" s="267">
        <f>IF(O10=1,VLOOKUP(1,B9:K10,5,0),"")</f>
      </c>
      <c r="Q10" s="268">
        <f>IF(O10=1,VLOOKUP(1,B9:K10,6,0),"")</f>
      </c>
      <c r="R10" s="268">
        <f>IF(O10=1,H9,"")</f>
      </c>
      <c r="S10" s="269">
        <f>IF(O10=1,VLOOKUP(1,B9:K10,8,0),"")</f>
      </c>
      <c r="T10" s="268">
        <f>IF(O10=1,VLOOKUP(1,B9:K10,9,0),"")</f>
      </c>
      <c r="U10" s="359">
        <f>IF(O10=1,VLOOKUP(1,B9:K10,10,0),"")</f>
      </c>
      <c r="X10" s="360" t="str">
        <f>IF(O10=2,VLOOKUP(2,B9:K10,5,0),"")</f>
        <v>ARMANDO MORENO CORTÉS</v>
      </c>
      <c r="Y10" s="268">
        <f>IF(O10=2,VLOOKUP(2,B9:K10,6,0),"")</f>
        <v>26</v>
      </c>
      <c r="Z10" s="268">
        <f>IF(O10=2,H9,"")</f>
        <v>24</v>
      </c>
      <c r="AA10" s="269">
        <f>IF(O10=2,VLOOKUP(2,B9:K10,8,0),"")</f>
        <v>1.0833333333333333</v>
      </c>
      <c r="AB10" s="268">
        <f>IF(O10=2,VLOOKUP(2,B9:K10,9,0),"")</f>
        <v>4</v>
      </c>
      <c r="AC10" s="359">
        <f>IF(O10=2,VLOOKUP(2,B9:K10,10,0),"")</f>
        <v>0</v>
      </c>
      <c r="AF10" s="375">
        <v>2</v>
      </c>
      <c r="AG10" s="341" t="s">
        <v>319</v>
      </c>
      <c r="AH10" s="290" t="s">
        <v>319</v>
      </c>
      <c r="AI10" s="290" t="s">
        <v>319</v>
      </c>
      <c r="AJ10" s="344" t="s">
        <v>319</v>
      </c>
      <c r="AK10" s="290" t="s">
        <v>319</v>
      </c>
      <c r="AL10" s="342" t="s">
        <v>319</v>
      </c>
      <c r="AO10" s="183">
        <v>1</v>
      </c>
      <c r="AP10" s="370" t="s">
        <v>319</v>
      </c>
      <c r="AQ10" s="290" t="s">
        <v>319</v>
      </c>
      <c r="AR10" s="290" t="s">
        <v>319</v>
      </c>
      <c r="AS10" s="290" t="s">
        <v>319</v>
      </c>
      <c r="AT10" s="290" t="s">
        <v>319</v>
      </c>
      <c r="AU10" s="342" t="s">
        <v>319</v>
      </c>
    </row>
    <row r="11" spans="2:47" ht="24" customHeight="1" thickTop="1">
      <c r="B11" s="256">
        <f t="shared" si="0"/>
        <v>1</v>
      </c>
      <c r="C11" s="657"/>
      <c r="D11" s="204">
        <v>0.4166666666666667</v>
      </c>
      <c r="E11" s="91">
        <v>3</v>
      </c>
      <c r="F11" s="296" t="str">
        <f>VLOOKUP(E11,'Clasificación 8'!$B$7:$C$14,2,0)</f>
        <v>ANTONIO MONTES MONFERRER</v>
      </c>
      <c r="G11" s="299">
        <v>40</v>
      </c>
      <c r="H11" s="664">
        <v>33</v>
      </c>
      <c r="I11" s="300">
        <f>IF(H11="","",G11/H11)</f>
        <v>1.2121212121212122</v>
      </c>
      <c r="J11" s="299">
        <v>5</v>
      </c>
      <c r="K11" s="301">
        <f>IF(H11="","",IF(G11&lt;G12,0,IF(G11&gt;G12,2,1)))</f>
        <v>2</v>
      </c>
      <c r="L11" s="305" t="str">
        <f t="shared" si="1"/>
        <v>1º</v>
      </c>
      <c r="M11" s="287"/>
      <c r="N11" s="112">
        <f t="shared" si="2"/>
        <v>2.001217121212121</v>
      </c>
      <c r="O11" s="359">
        <f>IF(ISERROR(I11),"",RANK(N11,N11:N12))</f>
        <v>1</v>
      </c>
      <c r="P11" s="267" t="str">
        <f>IF(O11=1,VLOOKUP(1,B11:K12,5,0),"")</f>
        <v>ANTONIO MONTES MONFERRER</v>
      </c>
      <c r="Q11" s="268">
        <f>IF(O11=1,VLOOKUP(1,B11:K12,6,0),"")</f>
        <v>40</v>
      </c>
      <c r="R11" s="268">
        <f>IF(O11=1,H11,"")</f>
        <v>33</v>
      </c>
      <c r="S11" s="269">
        <f>IF(O11=1,VLOOKUP(1,B11:K12,8,0),"")</f>
        <v>1.2121212121212122</v>
      </c>
      <c r="T11" s="268">
        <f>IF(O11=1,VLOOKUP(1,B11:K12,9,0),"")</f>
        <v>5</v>
      </c>
      <c r="U11" s="359">
        <f>IF(O11=1,VLOOKUP(1,B11:K12,10,0),"")</f>
        <v>2</v>
      </c>
      <c r="X11" s="358">
        <f>IF(O11=2,VLOOKUP(2,B11:K12,5,0),"")</f>
      </c>
      <c r="Y11" s="268">
        <f>IF(O11=2,VLOOKUP(2,B11:K12,6,0),"")</f>
      </c>
      <c r="Z11" s="268">
        <f>IF(O11=2,H11,"")</f>
      </c>
      <c r="AA11" s="269">
        <f>IF(O11=2,VLOOKUP(2,B11:K12,8,0),"")</f>
      </c>
      <c r="AB11" s="268">
        <f>IF(O11=2,VLOOKUP(2,B11:K12,9,0),"")</f>
      </c>
      <c r="AC11" s="359">
        <f>IF(O11=2,VLOOKUP(2,B11:K12,10,0),"")</f>
      </c>
      <c r="AE11" s="183">
        <v>1</v>
      </c>
      <c r="AF11" s="375">
        <v>1</v>
      </c>
      <c r="AG11" s="346" t="s">
        <v>251</v>
      </c>
      <c r="AH11" s="347">
        <v>40</v>
      </c>
      <c r="AI11" s="347">
        <v>24</v>
      </c>
      <c r="AJ11" s="348">
        <v>1.6666666666666667</v>
      </c>
      <c r="AK11" s="347">
        <v>14</v>
      </c>
      <c r="AL11" s="349">
        <v>2</v>
      </c>
      <c r="AN11" s="182">
        <v>1</v>
      </c>
      <c r="AO11" s="375">
        <v>2</v>
      </c>
      <c r="AP11" s="371" t="s">
        <v>31</v>
      </c>
      <c r="AQ11" s="365">
        <v>37</v>
      </c>
      <c r="AR11" s="365">
        <v>32</v>
      </c>
      <c r="AS11" s="365">
        <v>1.15625</v>
      </c>
      <c r="AT11" s="365">
        <v>4</v>
      </c>
      <c r="AU11" s="366">
        <v>0</v>
      </c>
    </row>
    <row r="12" spans="2:47" ht="24" customHeight="1" thickBot="1">
      <c r="B12" s="256">
        <f t="shared" si="0"/>
        <v>2</v>
      </c>
      <c r="C12" s="657"/>
      <c r="D12" s="206" t="s">
        <v>308</v>
      </c>
      <c r="E12" s="97">
        <v>6</v>
      </c>
      <c r="F12" s="297" t="str">
        <f>VLOOKUP(E12,'Clasificación 8'!$B$7:$C$14,2,0)</f>
        <v>JUAN BOUTERÍN BOTE</v>
      </c>
      <c r="G12" s="302">
        <v>36</v>
      </c>
      <c r="H12" s="665"/>
      <c r="I12" s="303">
        <f>IF(H11="","",G12/H11)</f>
        <v>1.0909090909090908</v>
      </c>
      <c r="J12" s="302">
        <v>4</v>
      </c>
      <c r="K12" s="304">
        <f>IF(H11="","",IF(G12&lt;G11,0,IF(G12&gt;G11,2,1)))</f>
        <v>0</v>
      </c>
      <c r="L12" s="306" t="str">
        <f t="shared" si="1"/>
        <v>2º</v>
      </c>
      <c r="M12" s="287"/>
      <c r="N12" s="112">
        <f t="shared" si="2"/>
        <v>0.0010949090909090908</v>
      </c>
      <c r="O12" s="359">
        <f>IF(ISERROR(I12),"",RANK(N12,N11:N12))</f>
        <v>2</v>
      </c>
      <c r="P12" s="267">
        <f>IF(O12=1,VLOOKUP(1,B11:K12,5,0),"")</f>
      </c>
      <c r="Q12" s="268">
        <f>IF(O12=1,VLOOKUP(1,B11:K12,6,0),"")</f>
      </c>
      <c r="R12" s="268">
        <f>IF(O12=1,H11,"")</f>
      </c>
      <c r="S12" s="269">
        <f>IF(O12=1,VLOOKUP(1,B11:K12,8,0),"")</f>
      </c>
      <c r="T12" s="268">
        <f>IF(O12=1,VLOOKUP(1,B11:K12,9,0),"")</f>
      </c>
      <c r="U12" s="359">
        <f>IF(O12=1,VLOOKUP(1,B11:K12,10,0),"")</f>
      </c>
      <c r="X12" s="360" t="str">
        <f>IF(O12=2,VLOOKUP(2,B11:K12,5,0),"")</f>
        <v>JUAN BOUTERÍN BOTE</v>
      </c>
      <c r="Y12" s="268">
        <f>IF(O12=2,VLOOKUP(2,B11:K12,6,0),"")</f>
        <v>36</v>
      </c>
      <c r="Z12" s="268">
        <f>IF(O12=2,H11,"")</f>
        <v>33</v>
      </c>
      <c r="AA12" s="269">
        <f>IF(O12=2,VLOOKUP(2,B11:K12,8,0),"")</f>
        <v>1.0909090909090908</v>
      </c>
      <c r="AB12" s="268">
        <f>IF(O12=2,VLOOKUP(2,B11:K12,9,0),"")</f>
        <v>4</v>
      </c>
      <c r="AC12" s="359">
        <f>IF(O12=2,VLOOKUP(2,B11:K12,10,0),"")</f>
        <v>0</v>
      </c>
      <c r="AE12" s="183">
        <v>2</v>
      </c>
      <c r="AF12" s="375">
        <v>1</v>
      </c>
      <c r="AG12" s="346" t="s">
        <v>24</v>
      </c>
      <c r="AH12" s="347">
        <v>40</v>
      </c>
      <c r="AI12" s="347">
        <v>32</v>
      </c>
      <c r="AJ12" s="348">
        <v>1.25</v>
      </c>
      <c r="AK12" s="347">
        <v>13</v>
      </c>
      <c r="AL12" s="349">
        <v>2</v>
      </c>
      <c r="AN12" s="182">
        <v>2</v>
      </c>
      <c r="AO12" s="375">
        <v>2</v>
      </c>
      <c r="AP12" s="371" t="s">
        <v>252</v>
      </c>
      <c r="AQ12" s="365">
        <v>36</v>
      </c>
      <c r="AR12" s="365">
        <v>33</v>
      </c>
      <c r="AS12" s="365">
        <v>1.0909090909090908</v>
      </c>
      <c r="AT12" s="365">
        <v>4</v>
      </c>
      <c r="AU12" s="366">
        <v>0</v>
      </c>
    </row>
    <row r="13" spans="2:47" ht="24" customHeight="1" thickTop="1">
      <c r="B13" s="256">
        <f t="shared" si="0"/>
        <v>1</v>
      </c>
      <c r="C13" s="657"/>
      <c r="D13" s="204">
        <v>0.4166666666666667</v>
      </c>
      <c r="E13" s="91">
        <v>4</v>
      </c>
      <c r="F13" s="296" t="str">
        <f>VLOOKUP(E13,'Clasificación 8'!$B$7:$C$14,2,0)</f>
        <v>JAVIER YESTE DE PABLO</v>
      </c>
      <c r="G13" s="299">
        <v>40</v>
      </c>
      <c r="H13" s="664">
        <v>32</v>
      </c>
      <c r="I13" s="300">
        <f>IF(H13="","",G13/H13)</f>
        <v>1.25</v>
      </c>
      <c r="J13" s="299">
        <v>13</v>
      </c>
      <c r="K13" s="301">
        <f>IF(H13="","",IF(G13&lt;G14,0,IF(G13&gt;G14,2,1)))</f>
        <v>2</v>
      </c>
      <c r="L13" s="305" t="str">
        <f t="shared" si="1"/>
        <v>1º</v>
      </c>
      <c r="M13" s="287"/>
      <c r="N13" s="112">
        <f t="shared" si="2"/>
        <v>2.0012630000000002</v>
      </c>
      <c r="O13" s="359">
        <f>IF(ISERROR(I13),"",RANK(N13,N13:N14))</f>
        <v>1</v>
      </c>
      <c r="P13" s="267" t="str">
        <f>IF(O13=1,VLOOKUP(1,B13:K14,5,0),"")</f>
        <v>JAVIER YESTE DE PABLO</v>
      </c>
      <c r="Q13" s="268">
        <f>IF(O13=1,VLOOKUP(1,B13:K14,6,0),"")</f>
        <v>40</v>
      </c>
      <c r="R13" s="268">
        <f>IF(O13=1,H13,"")</f>
        <v>32</v>
      </c>
      <c r="S13" s="269">
        <f>IF(O13=1,VLOOKUP(1,B13:K14,8,0),"")</f>
        <v>1.25</v>
      </c>
      <c r="T13" s="268">
        <f>IF(O13=1,VLOOKUP(1,B13:K14,9,0),"")</f>
        <v>13</v>
      </c>
      <c r="U13" s="359">
        <f>IF(O13=1,VLOOKUP(1,B13:K14,10,0),"")</f>
        <v>2</v>
      </c>
      <c r="X13" s="358">
        <f>IF(O13=2,VLOOKUP(2,B13:K14,5,0),"")</f>
      </c>
      <c r="Y13" s="268">
        <f>IF(O13=2,VLOOKUP(2,B13:K14,6,0),"")</f>
      </c>
      <c r="Z13" s="268">
        <f>IF(O13=2,H13,"")</f>
      </c>
      <c r="AA13" s="269">
        <f>IF(O13=2,VLOOKUP(2,B13:K14,8,0),"")</f>
      </c>
      <c r="AB13" s="268">
        <f>IF(O13=2,VLOOKUP(2,B13:K14,9,0),"")</f>
      </c>
      <c r="AC13" s="359">
        <f>IF(O13=2,VLOOKUP(2,B13:K14,10,0),"")</f>
      </c>
      <c r="AE13" s="183">
        <v>3</v>
      </c>
      <c r="AF13" s="375">
        <v>1</v>
      </c>
      <c r="AG13" s="346" t="s">
        <v>22</v>
      </c>
      <c r="AH13" s="347">
        <v>40</v>
      </c>
      <c r="AI13" s="347">
        <v>33</v>
      </c>
      <c r="AJ13" s="348">
        <v>1.2121212121212122</v>
      </c>
      <c r="AK13" s="347">
        <v>5</v>
      </c>
      <c r="AL13" s="349">
        <v>2</v>
      </c>
      <c r="AN13" s="182">
        <v>3</v>
      </c>
      <c r="AO13" s="375">
        <v>2</v>
      </c>
      <c r="AP13" s="371" t="s">
        <v>216</v>
      </c>
      <c r="AQ13" s="365">
        <v>26</v>
      </c>
      <c r="AR13" s="365">
        <v>24</v>
      </c>
      <c r="AS13" s="365">
        <v>1.0833333333333333</v>
      </c>
      <c r="AT13" s="365">
        <v>4</v>
      </c>
      <c r="AU13" s="366">
        <v>0</v>
      </c>
    </row>
    <row r="14" spans="2:47" ht="24" customHeight="1" thickBot="1">
      <c r="B14" s="256">
        <f t="shared" si="0"/>
        <v>2</v>
      </c>
      <c r="C14" s="657"/>
      <c r="D14" s="206" t="s">
        <v>307</v>
      </c>
      <c r="E14" s="102">
        <v>5</v>
      </c>
      <c r="F14" s="297" t="str">
        <f>VLOOKUP(E14,'Clasificación 8'!$B$7:$C$14,2,0)</f>
        <v>XAVIER FONELLOSA CASANOVAS</v>
      </c>
      <c r="G14" s="307">
        <v>37</v>
      </c>
      <c r="H14" s="665"/>
      <c r="I14" s="303">
        <f>IF(H13="","",G14/H13)</f>
        <v>1.15625</v>
      </c>
      <c r="J14" s="307">
        <v>4</v>
      </c>
      <c r="K14" s="308">
        <f>IF(H13="","",IF(G14&lt;G13,0,IF(G14&gt;G13,2,1)))</f>
        <v>0</v>
      </c>
      <c r="L14" s="306" t="str">
        <f t="shared" si="1"/>
        <v>2º</v>
      </c>
      <c r="M14" s="287"/>
      <c r="N14" s="112">
        <f t="shared" si="2"/>
        <v>0.00116025</v>
      </c>
      <c r="O14" s="359">
        <f>IF(ISERROR(I14),"",RANK(N14,N13:N14))</f>
        <v>2</v>
      </c>
      <c r="P14" s="377">
        <f>IF(O14=1,VLOOKUP(1,B13:K14,5,0),"")</f>
      </c>
      <c r="Q14" s="362">
        <f>IF(O14=1,VLOOKUP(1,B13:K14,6,0),"")</f>
      </c>
      <c r="R14" s="362">
        <f>IF(O14=1,H13,"")</f>
      </c>
      <c r="S14" s="363">
        <f>IF(O14=1,VLOOKUP(1,B13:K14,8,0),"")</f>
      </c>
      <c r="T14" s="362">
        <f>IF(O14=1,VLOOKUP(1,B13:K14,9,0),"")</f>
      </c>
      <c r="U14" s="364">
        <f>IF(O14=1,VLOOKUP(1,B13:K14,10,0),"")</f>
      </c>
      <c r="X14" s="361" t="str">
        <f>IF(O14=2,VLOOKUP(2,B13:K14,5,0),"")</f>
        <v>XAVIER FONELLOSA CASANOVAS</v>
      </c>
      <c r="Y14" s="362">
        <f>IF(O14=2,VLOOKUP(2,B13:K14,6,0),"")</f>
        <v>37</v>
      </c>
      <c r="Z14" s="362">
        <f>IF(O14=2,H13,"")</f>
        <v>32</v>
      </c>
      <c r="AA14" s="363">
        <f>IF(O14=2,VLOOKUP(2,B13:K14,8,0),"")</f>
        <v>1.15625</v>
      </c>
      <c r="AB14" s="362">
        <f>IF(O14=2,VLOOKUP(2,B13:K14,9,0),"")</f>
        <v>4</v>
      </c>
      <c r="AC14" s="364">
        <f>IF(O14=2,VLOOKUP(2,B13:K14,10,0),"")</f>
        <v>0</v>
      </c>
      <c r="AE14" s="183">
        <v>4</v>
      </c>
      <c r="AF14" s="375">
        <v>1</v>
      </c>
      <c r="AG14" s="350" t="s">
        <v>217</v>
      </c>
      <c r="AH14" s="351">
        <v>40</v>
      </c>
      <c r="AI14" s="351">
        <v>41</v>
      </c>
      <c r="AJ14" s="352">
        <v>0.975609756097561</v>
      </c>
      <c r="AK14" s="351">
        <v>7</v>
      </c>
      <c r="AL14" s="353">
        <v>2</v>
      </c>
      <c r="AN14" s="182">
        <v>4</v>
      </c>
      <c r="AO14" s="375">
        <v>2</v>
      </c>
      <c r="AP14" s="372" t="s">
        <v>25</v>
      </c>
      <c r="AQ14" s="367">
        <v>37</v>
      </c>
      <c r="AR14" s="367">
        <v>41</v>
      </c>
      <c r="AS14" s="367">
        <v>0.9024390243902439</v>
      </c>
      <c r="AT14" s="367">
        <v>7</v>
      </c>
      <c r="AU14" s="368">
        <v>0</v>
      </c>
    </row>
    <row r="15" spans="1:49" s="90" customFormat="1" ht="10.5" thickTop="1">
      <c r="A15" s="179"/>
      <c r="B15" s="179"/>
      <c r="G15" s="179" t="e">
        <f>SUM(#REF!)</f>
        <v>#REF!</v>
      </c>
      <c r="M15" s="133"/>
      <c r="N15" s="109"/>
      <c r="O15" s="133"/>
      <c r="P15" s="137"/>
      <c r="Q15" s="133"/>
      <c r="R15" s="133"/>
      <c r="S15" s="133"/>
      <c r="T15" s="133"/>
      <c r="U15" s="133"/>
      <c r="V15" s="133"/>
      <c r="W15" s="134"/>
      <c r="X15" s="133"/>
      <c r="Y15" s="133"/>
      <c r="Z15" s="133"/>
      <c r="AA15" s="133"/>
      <c r="AB15" s="133"/>
      <c r="AC15" s="133"/>
      <c r="AD15" s="134"/>
      <c r="AE15" s="183"/>
      <c r="AF15" s="183"/>
      <c r="AG15" s="133"/>
      <c r="AH15" s="133"/>
      <c r="AI15" s="133"/>
      <c r="AJ15" s="139"/>
      <c r="AK15" s="133"/>
      <c r="AL15" s="133"/>
      <c r="AM15" s="134"/>
      <c r="AN15" s="183"/>
      <c r="AO15" s="183"/>
      <c r="AP15" s="133"/>
      <c r="AQ15" s="133"/>
      <c r="AR15" s="133"/>
      <c r="AS15" s="133"/>
      <c r="AT15" s="133"/>
      <c r="AU15" s="133"/>
      <c r="AV15" s="134"/>
      <c r="AW15" s="133"/>
    </row>
    <row r="16" ht="12">
      <c r="AJ16" s="345"/>
    </row>
    <row r="17" spans="3:36" ht="31.5" customHeight="1">
      <c r="C17" s="660" t="s">
        <v>337</v>
      </c>
      <c r="D17" s="661"/>
      <c r="E17" s="661"/>
      <c r="F17" s="661"/>
      <c r="G17" s="662"/>
      <c r="H17" s="662"/>
      <c r="I17" s="662"/>
      <c r="J17" s="662"/>
      <c r="K17" s="662"/>
      <c r="L17" s="662"/>
      <c r="AJ17" s="345"/>
    </row>
    <row r="18" spans="5:36" ht="12.75" thickBot="1">
      <c r="E18" s="89" t="s">
        <v>346</v>
      </c>
      <c r="F18" s="89" t="s">
        <v>262</v>
      </c>
      <c r="G18" s="89" t="s">
        <v>263</v>
      </c>
      <c r="H18" s="89" t="s">
        <v>264</v>
      </c>
      <c r="I18" s="89" t="s">
        <v>309</v>
      </c>
      <c r="J18" s="89" t="s">
        <v>266</v>
      </c>
      <c r="K18" s="89" t="s">
        <v>301</v>
      </c>
      <c r="L18" s="89" t="s">
        <v>271</v>
      </c>
      <c r="AJ18" s="345"/>
    </row>
    <row r="19" spans="2:47" ht="24" customHeight="1" thickTop="1">
      <c r="B19" s="256">
        <f aca="true" t="shared" si="3" ref="B19:B28">O19</f>
        <v>1</v>
      </c>
      <c r="C19" s="666" t="s">
        <v>336</v>
      </c>
      <c r="D19" s="204">
        <v>0.5</v>
      </c>
      <c r="E19" s="91">
        <v>1</v>
      </c>
      <c r="F19" s="296" t="str">
        <f>VLOOKUP(E19,'Clasificación 4'!$B$7:$C$10,2,0)</f>
        <v>RICARDO GARCÍA ALARCÓN</v>
      </c>
      <c r="G19" s="299">
        <v>40</v>
      </c>
      <c r="H19" s="664">
        <v>30</v>
      </c>
      <c r="I19" s="300">
        <f>IF(H19="","",G19/H19)</f>
        <v>1.3333333333333333</v>
      </c>
      <c r="J19" s="299">
        <v>5</v>
      </c>
      <c r="K19" s="301">
        <f>IF(H19="","",IF(G19&lt;G20,0,IF(G19&gt;G20,2,1)))</f>
        <v>2</v>
      </c>
      <c r="L19" s="310" t="str">
        <f aca="true" t="shared" si="4" ref="L19:L28">IF(ISERROR(I19),"",O19&amp;"º")</f>
        <v>1º</v>
      </c>
      <c r="M19" s="287"/>
      <c r="N19" s="112">
        <f aca="true" t="shared" si="5" ref="N19:N28">IF(ISERROR(I19),"",SUM(K19,I19/1000,J19/1000000))</f>
        <v>2.001338333333333</v>
      </c>
      <c r="O19" s="138">
        <f>IF(ISERROR(I19),"",RANK(N19,N19:N20))</f>
        <v>1</v>
      </c>
      <c r="P19" s="373" t="str">
        <f>IF(O19=1,VLOOKUP(1,B19:K20,5,0),"")</f>
        <v>RICARDO GARCÍA ALARCÓN</v>
      </c>
      <c r="Q19" s="355">
        <f>IF(O19=1,VLOOKUP(1,B19:K20,6,0),"")</f>
        <v>40</v>
      </c>
      <c r="R19" s="355">
        <f>IF(O19=1,H19,"")</f>
        <v>30</v>
      </c>
      <c r="S19" s="356">
        <f>IF(O19=1,VLOOKUP(1,B19:K20,8,0),"")</f>
        <v>1.3333333333333333</v>
      </c>
      <c r="T19" s="355">
        <f>IF(O19=1,VLOOKUP(1,B19:K20,9,0),"")</f>
        <v>5</v>
      </c>
      <c r="U19" s="357">
        <f>IF(O19=1,VLOOKUP(1,B19:K20,10,0),"")</f>
        <v>2</v>
      </c>
      <c r="X19" s="354">
        <f>IF(O19=2,VLOOKUP(2,B19:K20,5,0),"")</f>
      </c>
      <c r="Y19" s="355">
        <f>IF(O19=2,VLOOKUP(2,B19:K20,6,0),"")</f>
      </c>
      <c r="Z19" s="355">
        <f>IF(O19=2,H19,"")</f>
      </c>
      <c r="AA19" s="356">
        <f>IF(O19=2,VLOOKUP(2,B19:K20,8,0),"")</f>
      </c>
      <c r="AB19" s="355">
        <f>IF(O19=2,VLOOKUP(2,B19:K20,9,0),"")</f>
      </c>
      <c r="AC19" s="357">
        <f>IF(O19=2,VLOOKUP(2,B19:K20,10,0),"")</f>
      </c>
      <c r="AF19" s="183">
        <v>2</v>
      </c>
      <c r="AG19" s="369" t="s">
        <v>319</v>
      </c>
      <c r="AH19" s="339" t="s">
        <v>319</v>
      </c>
      <c r="AI19" s="339" t="s">
        <v>319</v>
      </c>
      <c r="AJ19" s="343" t="s">
        <v>319</v>
      </c>
      <c r="AK19" s="339" t="s">
        <v>319</v>
      </c>
      <c r="AL19" s="340" t="s">
        <v>319</v>
      </c>
      <c r="AO19" s="375">
        <v>1</v>
      </c>
      <c r="AP19" s="369" t="s">
        <v>319</v>
      </c>
      <c r="AQ19" s="339" t="s">
        <v>319</v>
      </c>
      <c r="AR19" s="339" t="s">
        <v>319</v>
      </c>
      <c r="AS19" s="339" t="s">
        <v>319</v>
      </c>
      <c r="AT19" s="339" t="s">
        <v>319</v>
      </c>
      <c r="AU19" s="340" t="s">
        <v>319</v>
      </c>
    </row>
    <row r="20" spans="2:47" ht="24" customHeight="1" thickBot="1">
      <c r="B20" s="256">
        <f t="shared" si="3"/>
        <v>2</v>
      </c>
      <c r="C20" s="666"/>
      <c r="D20" s="205" t="s">
        <v>310</v>
      </c>
      <c r="E20" s="102">
        <v>4</v>
      </c>
      <c r="F20" s="297" t="str">
        <f>VLOOKUP(E20,'Clasificación 4'!$B$7:$C$10,2,0)</f>
        <v>XAVIER MINGUELL ROSELLÓ</v>
      </c>
      <c r="G20" s="302">
        <v>30</v>
      </c>
      <c r="H20" s="665"/>
      <c r="I20" s="303">
        <f>IF(H19="","",G20/H19)</f>
        <v>1</v>
      </c>
      <c r="J20" s="302">
        <v>7</v>
      </c>
      <c r="K20" s="304">
        <f>IF(H19="","",IF(G20&lt;G19,0,IF(G20&gt;G19,2,1)))</f>
        <v>0</v>
      </c>
      <c r="L20" s="311" t="str">
        <f t="shared" si="4"/>
        <v>2º</v>
      </c>
      <c r="M20" s="287"/>
      <c r="N20" s="112">
        <f t="shared" si="5"/>
        <v>0.001007</v>
      </c>
      <c r="O20" s="138">
        <f>IF(ISERROR(I20),"",RANK(N20,N19:N20))</f>
        <v>2</v>
      </c>
      <c r="P20" s="360">
        <f>IF(O20=1,VLOOKUP(1,B19:K20,5,0),"")</f>
      </c>
      <c r="Q20" s="268">
        <f>IF(O20=1,VLOOKUP(1,B19:K20,6,0),"")</f>
      </c>
      <c r="R20" s="268">
        <f>IF(O20=1,H19,"")</f>
      </c>
      <c r="S20" s="269">
        <f>IF(O20=1,VLOOKUP(1,B19:K20,8,0),"")</f>
      </c>
      <c r="T20" s="268">
        <f>IF(O20=1,VLOOKUP(1,B19:K20,9,0),"")</f>
      </c>
      <c r="U20" s="359">
        <f>IF(O20=1,VLOOKUP(1,B19:K20,10,0),"")</f>
      </c>
      <c r="X20" s="360" t="str">
        <f>IF(O20=2,VLOOKUP(2,B19:K20,5,0),"")</f>
        <v>XAVIER MINGUELL ROSELLÓ</v>
      </c>
      <c r="Y20" s="268">
        <f>IF(O20=2,VLOOKUP(2,B19:K20,6,0),"")</f>
        <v>30</v>
      </c>
      <c r="Z20" s="268">
        <f>IF(O20=2,H19,"")</f>
        <v>30</v>
      </c>
      <c r="AA20" s="269">
        <f>IF(O20=2,VLOOKUP(2,B19:K20,8,0),"")</f>
        <v>1</v>
      </c>
      <c r="AB20" s="268">
        <f>IF(O20=2,VLOOKUP(2,B19:K20,9,0),"")</f>
        <v>7</v>
      </c>
      <c r="AC20" s="359">
        <f>IF(O20=2,VLOOKUP(2,B19:K20,10,0),"")</f>
        <v>0</v>
      </c>
      <c r="AF20" s="183">
        <v>2</v>
      </c>
      <c r="AG20" s="370" t="s">
        <v>319</v>
      </c>
      <c r="AH20" s="290" t="s">
        <v>319</v>
      </c>
      <c r="AI20" s="290" t="s">
        <v>319</v>
      </c>
      <c r="AJ20" s="344" t="s">
        <v>319</v>
      </c>
      <c r="AK20" s="290" t="s">
        <v>319</v>
      </c>
      <c r="AL20" s="342" t="s">
        <v>319</v>
      </c>
      <c r="AO20" s="375">
        <v>1</v>
      </c>
      <c r="AP20" s="370" t="s">
        <v>319</v>
      </c>
      <c r="AQ20" s="290" t="s">
        <v>319</v>
      </c>
      <c r="AR20" s="290" t="s">
        <v>319</v>
      </c>
      <c r="AS20" s="290" t="s">
        <v>319</v>
      </c>
      <c r="AT20" s="290" t="s">
        <v>319</v>
      </c>
      <c r="AU20" s="342" t="s">
        <v>319</v>
      </c>
    </row>
    <row r="21" spans="2:47" ht="24" customHeight="1" thickTop="1">
      <c r="B21" s="256">
        <f t="shared" si="3"/>
        <v>2</v>
      </c>
      <c r="C21" s="666"/>
      <c r="D21" s="204">
        <v>0.5</v>
      </c>
      <c r="E21" s="91">
        <v>2</v>
      </c>
      <c r="F21" s="296" t="str">
        <f>VLOOKUP(E21,'Clasificación 4'!$B$7:$C$10,2,0)</f>
        <v>JAVIER YESTE DE PABLO</v>
      </c>
      <c r="G21" s="299">
        <v>33</v>
      </c>
      <c r="H21" s="664">
        <v>26</v>
      </c>
      <c r="I21" s="300">
        <f>IF(H21="","",G21/H21)</f>
        <v>1.2692307692307692</v>
      </c>
      <c r="J21" s="299">
        <v>5</v>
      </c>
      <c r="K21" s="301">
        <f>IF(H21="","",IF(G21&lt;G22,0,IF(G21&gt;G22,2,1)))</f>
        <v>0</v>
      </c>
      <c r="L21" s="310" t="str">
        <f t="shared" si="4"/>
        <v>2º</v>
      </c>
      <c r="M21" s="287"/>
      <c r="N21" s="112">
        <f t="shared" si="5"/>
        <v>0.0012742307692307693</v>
      </c>
      <c r="O21" s="138">
        <f>IF(ISERROR(I21),"",RANK(N21,N21:N22))</f>
        <v>2</v>
      </c>
      <c r="P21" s="360">
        <f>IF(O21=1,VLOOKUP(1,B21:K22,5,0),"")</f>
      </c>
      <c r="Q21" s="268">
        <f>IF(O21=1,VLOOKUP(1,B21:K22,6,0),"")</f>
      </c>
      <c r="R21" s="268">
        <f>IF(O21=1,H21,"")</f>
      </c>
      <c r="S21" s="269">
        <f>IF(O21=1,VLOOKUP(1,B21:K22,8,0),"")</f>
      </c>
      <c r="T21" s="268">
        <f>IF(O21=1,VLOOKUP(1,B21:K22,9,0),"")</f>
      </c>
      <c r="U21" s="359">
        <f>IF(O21=1,VLOOKUP(1,B21:K22,10,0),"")</f>
      </c>
      <c r="X21" s="358" t="str">
        <f>IF(O21=2,VLOOKUP(2,B21:K22,5,0),"")</f>
        <v>JAVIER YESTE DE PABLO</v>
      </c>
      <c r="Y21" s="268">
        <f>IF(O21=2,VLOOKUP(2,B21:K22,6,0),"")</f>
        <v>33</v>
      </c>
      <c r="Z21" s="268">
        <f>IF(O21=2,H21,"")</f>
        <v>26</v>
      </c>
      <c r="AA21" s="269">
        <f>IF(O21=2,VLOOKUP(2,B21:K22,8,0),"")</f>
        <v>1.2692307692307692</v>
      </c>
      <c r="AB21" s="268">
        <f>IF(O21=2,VLOOKUP(2,B21:K22,9,0),"")</f>
        <v>5</v>
      </c>
      <c r="AC21" s="359">
        <f>IF(O21=2,VLOOKUP(2,B21:K22,10,0),"")</f>
        <v>0</v>
      </c>
      <c r="AE21" s="183">
        <v>1</v>
      </c>
      <c r="AF21" s="375">
        <v>1</v>
      </c>
      <c r="AG21" s="378" t="s">
        <v>22</v>
      </c>
      <c r="AH21" s="347">
        <v>40</v>
      </c>
      <c r="AI21" s="347">
        <v>26</v>
      </c>
      <c r="AJ21" s="348">
        <v>1.5384615384615385</v>
      </c>
      <c r="AK21" s="347">
        <v>7</v>
      </c>
      <c r="AL21" s="349">
        <v>2</v>
      </c>
      <c r="AN21" s="182">
        <v>1</v>
      </c>
      <c r="AO21" s="183">
        <v>2</v>
      </c>
      <c r="AP21" s="380" t="s">
        <v>24</v>
      </c>
      <c r="AQ21" s="381">
        <v>33</v>
      </c>
      <c r="AR21" s="381">
        <v>26</v>
      </c>
      <c r="AS21" s="381">
        <v>1.2692307692307692</v>
      </c>
      <c r="AT21" s="381">
        <v>5</v>
      </c>
      <c r="AU21" s="382">
        <v>0</v>
      </c>
    </row>
    <row r="22" spans="2:47" ht="27.75" customHeight="1" thickBot="1">
      <c r="B22" s="256">
        <f t="shared" si="3"/>
        <v>1</v>
      </c>
      <c r="C22" s="666"/>
      <c r="D22" s="206" t="s">
        <v>306</v>
      </c>
      <c r="E22" s="102">
        <v>3</v>
      </c>
      <c r="F22" s="297" t="str">
        <f>VLOOKUP(E22,'Clasificación 4'!$B$7:$C$10,2,0)</f>
        <v>ANTONIO MONTES MONFERRER</v>
      </c>
      <c r="G22" s="307">
        <v>40</v>
      </c>
      <c r="H22" s="665"/>
      <c r="I22" s="303">
        <f>IF(H21="","",G22/H21)</f>
        <v>1.5384615384615385</v>
      </c>
      <c r="J22" s="307">
        <v>7</v>
      </c>
      <c r="K22" s="308">
        <f>IF(H21="","",IF(G22&lt;G21,0,IF(G22&gt;G21,2,1)))</f>
        <v>2</v>
      </c>
      <c r="L22" s="311" t="str">
        <f t="shared" si="4"/>
        <v>1º</v>
      </c>
      <c r="M22" s="287"/>
      <c r="N22" s="112">
        <f t="shared" si="5"/>
        <v>2.001545461538462</v>
      </c>
      <c r="O22" s="138">
        <f>IF(ISERROR(I22),"",RANK(N22,N21:N22))</f>
        <v>1</v>
      </c>
      <c r="P22" s="361" t="str">
        <f>IF(O22=1,VLOOKUP(1,B21:K22,5,0),"")</f>
        <v>ANTONIO MONTES MONFERRER</v>
      </c>
      <c r="Q22" s="362">
        <f>IF(O22=1,VLOOKUP(1,B21:K22,6,0),"")</f>
        <v>40</v>
      </c>
      <c r="R22" s="362">
        <f>IF(O22=1,H21,"")</f>
        <v>26</v>
      </c>
      <c r="S22" s="363">
        <f>IF(O22=1,VLOOKUP(1,B21:K22,8,0),"")</f>
        <v>1.5384615384615385</v>
      </c>
      <c r="T22" s="362">
        <f>IF(O22=1,VLOOKUP(1,B21:K22,9,0),"")</f>
        <v>7</v>
      </c>
      <c r="U22" s="364">
        <f>IF(O22=1,VLOOKUP(1,B21:K22,10,0),"")</f>
        <v>2</v>
      </c>
      <c r="X22" s="361">
        <f>IF(O22=2,VLOOKUP(2,B21:K22,5,0),"")</f>
      </c>
      <c r="Y22" s="362">
        <f>IF(O22=2,VLOOKUP(2,B21:K22,6,0),"")</f>
      </c>
      <c r="Z22" s="362">
        <f>IF(O22=2,H21,"")</f>
      </c>
      <c r="AA22" s="363">
        <f>IF(O22=2,VLOOKUP(2,B21:K22,8,0),"")</f>
      </c>
      <c r="AB22" s="362">
        <f>IF(O22=2,VLOOKUP(2,B21:K22,9,0),"")</f>
      </c>
      <c r="AC22" s="364">
        <f>IF(O22=2,VLOOKUP(2,B21:K22,10,0),"")</f>
      </c>
      <c r="AE22" s="183">
        <v>2</v>
      </c>
      <c r="AF22" s="375">
        <v>1</v>
      </c>
      <c r="AG22" s="379" t="s">
        <v>251</v>
      </c>
      <c r="AH22" s="351">
        <v>40</v>
      </c>
      <c r="AI22" s="351">
        <v>30</v>
      </c>
      <c r="AJ22" s="352">
        <v>1.3333333333333333</v>
      </c>
      <c r="AK22" s="351">
        <v>5</v>
      </c>
      <c r="AL22" s="353">
        <v>2</v>
      </c>
      <c r="AN22" s="182">
        <v>2</v>
      </c>
      <c r="AO22" s="183">
        <v>2</v>
      </c>
      <c r="AP22" s="383" t="s">
        <v>217</v>
      </c>
      <c r="AQ22" s="384">
        <v>30</v>
      </c>
      <c r="AR22" s="384">
        <v>30</v>
      </c>
      <c r="AS22" s="384">
        <v>1</v>
      </c>
      <c r="AT22" s="384">
        <v>7</v>
      </c>
      <c r="AU22" s="385">
        <v>0</v>
      </c>
    </row>
    <row r="23" spans="2:36" ht="12" customHeight="1" thickTop="1">
      <c r="B23" s="256"/>
      <c r="C23" s="276"/>
      <c r="D23" s="273"/>
      <c r="E23" s="96"/>
      <c r="F23" s="262"/>
      <c r="G23" s="263"/>
      <c r="H23" s="275"/>
      <c r="I23" s="264"/>
      <c r="J23" s="263"/>
      <c r="K23" s="265"/>
      <c r="L23" s="237"/>
      <c r="M23" s="287"/>
      <c r="N23" s="112"/>
      <c r="O23" s="138"/>
      <c r="P23" s="238"/>
      <c r="Q23" s="138"/>
      <c r="R23" s="138"/>
      <c r="S23" s="139"/>
      <c r="T23" s="138"/>
      <c r="U23" s="138"/>
      <c r="X23" s="238"/>
      <c r="Y23" s="138"/>
      <c r="Z23" s="138"/>
      <c r="AA23" s="139"/>
      <c r="AB23" s="138"/>
      <c r="AC23" s="138"/>
      <c r="AJ23" s="345"/>
    </row>
    <row r="24" spans="2:36" ht="12.75" customHeight="1">
      <c r="B24" s="256"/>
      <c r="C24" s="276"/>
      <c r="D24" s="273"/>
      <c r="E24" s="96"/>
      <c r="F24" s="262"/>
      <c r="G24" s="263"/>
      <c r="H24" s="275"/>
      <c r="I24" s="264"/>
      <c r="J24" s="263"/>
      <c r="K24" s="265"/>
      <c r="L24" s="237"/>
      <c r="M24" s="287"/>
      <c r="N24" s="112"/>
      <c r="O24" s="138"/>
      <c r="P24" s="238"/>
      <c r="Q24" s="138"/>
      <c r="R24" s="138"/>
      <c r="S24" s="139"/>
      <c r="T24" s="138"/>
      <c r="U24" s="138"/>
      <c r="X24" s="238"/>
      <c r="Y24" s="138"/>
      <c r="Z24" s="138"/>
      <c r="AA24" s="139"/>
      <c r="AB24" s="138"/>
      <c r="AC24" s="138"/>
      <c r="AJ24" s="345"/>
    </row>
    <row r="25" spans="1:49" s="96" customFormat="1" ht="31.5" customHeight="1">
      <c r="A25" s="261"/>
      <c r="B25" s="390"/>
      <c r="C25" s="660" t="s">
        <v>348</v>
      </c>
      <c r="D25" s="661"/>
      <c r="E25" s="661"/>
      <c r="F25" s="661"/>
      <c r="G25" s="662"/>
      <c r="H25" s="662"/>
      <c r="I25" s="662"/>
      <c r="J25" s="662"/>
      <c r="K25" s="662"/>
      <c r="L25" s="662"/>
      <c r="M25" s="287"/>
      <c r="N25" s="266"/>
      <c r="O25" s="268"/>
      <c r="P25" s="267"/>
      <c r="Q25" s="268"/>
      <c r="R25" s="268"/>
      <c r="S25" s="269"/>
      <c r="T25" s="268"/>
      <c r="U25" s="268"/>
      <c r="V25" s="270"/>
      <c r="W25" s="271"/>
      <c r="X25" s="272"/>
      <c r="Y25" s="268"/>
      <c r="Z25" s="268"/>
      <c r="AA25" s="269"/>
      <c r="AB25" s="268"/>
      <c r="AC25" s="268"/>
      <c r="AD25" s="271"/>
      <c r="AE25" s="289"/>
      <c r="AF25" s="289"/>
      <c r="AG25" s="290"/>
      <c r="AH25" s="290"/>
      <c r="AI25" s="290"/>
      <c r="AJ25" s="344"/>
      <c r="AK25" s="290"/>
      <c r="AL25" s="290"/>
      <c r="AM25" s="271"/>
      <c r="AN25" s="288"/>
      <c r="AO25" s="289"/>
      <c r="AP25" s="290"/>
      <c r="AQ25" s="290"/>
      <c r="AR25" s="290"/>
      <c r="AS25" s="290"/>
      <c r="AT25" s="290"/>
      <c r="AU25" s="290"/>
      <c r="AV25" s="271"/>
      <c r="AW25" s="290"/>
    </row>
    <row r="26" spans="1:49" s="96" customFormat="1" ht="13.5" customHeight="1" thickBot="1">
      <c r="A26" s="261"/>
      <c r="B26" s="390"/>
      <c r="C26" s="274"/>
      <c r="D26" s="273"/>
      <c r="E26" s="89" t="s">
        <v>347</v>
      </c>
      <c r="F26" s="89" t="s">
        <v>262</v>
      </c>
      <c r="G26" s="89" t="s">
        <v>263</v>
      </c>
      <c r="H26" s="89" t="s">
        <v>264</v>
      </c>
      <c r="I26" s="89" t="s">
        <v>309</v>
      </c>
      <c r="J26" s="89" t="s">
        <v>266</v>
      </c>
      <c r="K26" s="89" t="s">
        <v>301</v>
      </c>
      <c r="L26" s="89" t="s">
        <v>271</v>
      </c>
      <c r="M26" s="287"/>
      <c r="N26" s="266"/>
      <c r="O26" s="268"/>
      <c r="P26" s="267"/>
      <c r="Q26" s="268"/>
      <c r="R26" s="268"/>
      <c r="S26" s="269"/>
      <c r="T26" s="268"/>
      <c r="U26" s="268"/>
      <c r="V26" s="270"/>
      <c r="W26" s="271"/>
      <c r="X26" s="267"/>
      <c r="Y26" s="268"/>
      <c r="Z26" s="268"/>
      <c r="AA26" s="269"/>
      <c r="AB26" s="268"/>
      <c r="AC26" s="268"/>
      <c r="AD26" s="271"/>
      <c r="AE26" s="289"/>
      <c r="AF26" s="289"/>
      <c r="AG26" s="290"/>
      <c r="AH26" s="290"/>
      <c r="AI26" s="290"/>
      <c r="AJ26" s="344"/>
      <c r="AK26" s="290"/>
      <c r="AL26" s="290"/>
      <c r="AM26" s="271"/>
      <c r="AN26" s="288"/>
      <c r="AO26" s="289"/>
      <c r="AP26" s="290"/>
      <c r="AQ26" s="290"/>
      <c r="AR26" s="290"/>
      <c r="AS26" s="290"/>
      <c r="AT26" s="290"/>
      <c r="AU26" s="290"/>
      <c r="AV26" s="271"/>
      <c r="AW26" s="290"/>
    </row>
    <row r="27" spans="2:47" ht="30" customHeight="1" thickTop="1">
      <c r="B27" s="256">
        <f t="shared" si="3"/>
        <v>2</v>
      </c>
      <c r="C27" s="667" t="s">
        <v>181</v>
      </c>
      <c r="D27" s="204">
        <v>0.6666666666666666</v>
      </c>
      <c r="E27" s="91">
        <v>1</v>
      </c>
      <c r="F27" s="309" t="str">
        <f>VLOOKUP(1,$B$19:$F$20,5,0)</f>
        <v>RICARDO GARCÍA ALARCÓN</v>
      </c>
      <c r="G27" s="299">
        <v>38</v>
      </c>
      <c r="H27" s="664">
        <v>33</v>
      </c>
      <c r="I27" s="300">
        <f>IF(H27="","",G27/H27)</f>
        <v>1.1515151515151516</v>
      </c>
      <c r="J27" s="299">
        <v>6</v>
      </c>
      <c r="K27" s="301">
        <f>IF(H27="","",IF(G27&lt;G28,0,IF(G27&gt;G28,2,1)))</f>
        <v>0</v>
      </c>
      <c r="L27" s="312" t="str">
        <f t="shared" si="4"/>
        <v>2º</v>
      </c>
      <c r="M27" s="287"/>
      <c r="N27" s="112">
        <f t="shared" si="5"/>
        <v>0.0011575151515151516</v>
      </c>
      <c r="O27" s="138">
        <f>IF(ISERROR(I27),"",RANK(N27,N27:N28))</f>
        <v>2</v>
      </c>
      <c r="P27" s="238">
        <f>IF(O27=1,VLOOKUP(1,B27:K28,5,0),"")</f>
      </c>
      <c r="Q27" s="138">
        <f>IF(O27=1,VLOOKUP(1,B27:K28,6,0),"")</f>
      </c>
      <c r="R27" s="138">
        <f>IF(O27=1,H27,"")</f>
      </c>
      <c r="S27" s="139">
        <f>IF(O27=1,VLOOKUP(1,B27:K28,8,0),"")</f>
      </c>
      <c r="T27" s="138">
        <f>IF(O27=1,VLOOKUP(1,B27:K28,9,0),"")</f>
      </c>
      <c r="U27" s="138">
        <f>IF(O27=1,VLOOKUP(1,B27:K28,10,0),"")</f>
      </c>
      <c r="X27" s="354" t="str">
        <f>IF(O27=2,VLOOKUP(2,B27:K28,5,0),"")</f>
        <v>RICARDO GARCÍA ALARCÓN</v>
      </c>
      <c r="Y27" s="355">
        <f>IF(O27=2,VLOOKUP(2,B27:K28,6,0),"")</f>
        <v>38</v>
      </c>
      <c r="Z27" s="355">
        <f>IF(O27=2,H27,"")</f>
        <v>33</v>
      </c>
      <c r="AA27" s="356">
        <f>IF(O27=2,VLOOKUP(2,B27:K28,8,0),"")</f>
        <v>1.1515151515151516</v>
      </c>
      <c r="AB27" s="355">
        <f>IF(O27=2,VLOOKUP(2,B27:K28,9,0),"")</f>
        <v>6</v>
      </c>
      <c r="AC27" s="357">
        <f>IF(O27=2,VLOOKUP(2,B27:K28,10,0),"")</f>
        <v>0</v>
      </c>
      <c r="AF27" s="183">
        <v>2</v>
      </c>
      <c r="AG27" s="374"/>
      <c r="AH27" s="339"/>
      <c r="AI27" s="339"/>
      <c r="AJ27" s="343"/>
      <c r="AK27" s="339"/>
      <c r="AL27" s="340"/>
      <c r="AO27" s="183">
        <v>1</v>
      </c>
      <c r="AP27" s="374"/>
      <c r="AQ27" s="339"/>
      <c r="AR27" s="339"/>
      <c r="AS27" s="339"/>
      <c r="AT27" s="339"/>
      <c r="AU27" s="340"/>
    </row>
    <row r="28" spans="2:47" ht="30" customHeight="1" thickBot="1">
      <c r="B28" s="256">
        <f t="shared" si="3"/>
        <v>1</v>
      </c>
      <c r="C28" s="667"/>
      <c r="D28" s="206" t="s">
        <v>307</v>
      </c>
      <c r="E28" s="102">
        <v>2</v>
      </c>
      <c r="F28" s="297" t="str">
        <f>VLOOKUP(1,$B$21:$F$22,5,0)</f>
        <v>ANTONIO MONTES MONFERRER</v>
      </c>
      <c r="G28" s="307">
        <v>40</v>
      </c>
      <c r="H28" s="665"/>
      <c r="I28" s="303">
        <f>IF(H27="","",G28/H27)</f>
        <v>1.2121212121212122</v>
      </c>
      <c r="J28" s="307">
        <v>4</v>
      </c>
      <c r="K28" s="308">
        <f>IF(H27="","",IF(G28&lt;G27,0,IF(G28&gt;G27,2,1)))</f>
        <v>2</v>
      </c>
      <c r="L28" s="313" t="str">
        <f t="shared" si="4"/>
        <v>1º</v>
      </c>
      <c r="M28" s="287"/>
      <c r="N28" s="112">
        <f t="shared" si="5"/>
        <v>2.001216121212121</v>
      </c>
      <c r="O28" s="138">
        <f>IF(ISERROR(I28),"",RANK(N28,N27:N28))</f>
        <v>1</v>
      </c>
      <c r="P28" s="238" t="str">
        <f>IF(O28=1,VLOOKUP(1,B27:K28,5,0),"")</f>
        <v>ANTONIO MONTES MONFERRER</v>
      </c>
      <c r="Q28" s="138">
        <f>IF(O28=1,VLOOKUP(1,B27:K28,6,0),"")</f>
        <v>40</v>
      </c>
      <c r="R28" s="138">
        <f>IF(O28=1,H27,"")</f>
        <v>33</v>
      </c>
      <c r="S28" s="139">
        <f>IF(O28=1,VLOOKUP(1,B27:K28,8,0),"")</f>
        <v>1.2121212121212122</v>
      </c>
      <c r="T28" s="138">
        <f>IF(O28=1,VLOOKUP(1,B27:K28,9,0),"")</f>
        <v>4</v>
      </c>
      <c r="U28" s="138">
        <f>IF(O28=1,VLOOKUP(1,B27:K28,10,0),"")</f>
        <v>2</v>
      </c>
      <c r="X28" s="361">
        <f>IF(O28=2,VLOOKUP(2,B27:K28,5,0),"")</f>
      </c>
      <c r="Y28" s="362">
        <f>IF(O28=2,VLOOKUP(2,B27:K28,6,0),"")</f>
      </c>
      <c r="Z28" s="362">
        <f>IF(O28=2,H27,"")</f>
      </c>
      <c r="AA28" s="363">
        <f>IF(O28=2,VLOOKUP(2,B27:K28,8,0),"")</f>
      </c>
      <c r="AB28" s="362">
        <f>IF(O28=2,VLOOKUP(2,B27:K28,9,0),"")</f>
      </c>
      <c r="AC28" s="364">
        <f>IF(O28=2,VLOOKUP(2,B27:K28,10,0),"")</f>
      </c>
      <c r="AE28" s="183">
        <v>1</v>
      </c>
      <c r="AF28" s="183">
        <v>1</v>
      </c>
      <c r="AG28" s="386"/>
      <c r="AH28" s="351"/>
      <c r="AI28" s="351"/>
      <c r="AJ28" s="352"/>
      <c r="AK28" s="351"/>
      <c r="AL28" s="353"/>
      <c r="AN28" s="182">
        <v>2</v>
      </c>
      <c r="AO28" s="183">
        <v>2</v>
      </c>
      <c r="AP28" s="387"/>
      <c r="AQ28" s="367"/>
      <c r="AR28" s="367"/>
      <c r="AS28" s="367"/>
      <c r="AT28" s="367"/>
      <c r="AU28" s="368"/>
    </row>
    <row r="29" ht="12.75" thickTop="1"/>
  </sheetData>
  <sheetProtection/>
  <mergeCells count="14">
    <mergeCell ref="C17:L17"/>
    <mergeCell ref="H19:H20"/>
    <mergeCell ref="H21:H22"/>
    <mergeCell ref="H27:H28"/>
    <mergeCell ref="C19:C22"/>
    <mergeCell ref="C27:C28"/>
    <mergeCell ref="C25:L25"/>
    <mergeCell ref="C2:L2"/>
    <mergeCell ref="C3:L3"/>
    <mergeCell ref="C7:C14"/>
    <mergeCell ref="H7:H8"/>
    <mergeCell ref="H9:H10"/>
    <mergeCell ref="H11:H12"/>
    <mergeCell ref="H13:H14"/>
  </mergeCells>
  <conditionalFormatting sqref="I8 I10 I12 I28 I20 I22:I24 I14">
    <cfRule type="expression" priority="1" dxfId="0" stopIfTrue="1">
      <formula>ISERROR('Quarts Semis y Final'!I8)</formula>
    </cfRule>
    <cfRule type="cellIs" priority="2" dxfId="2" operator="greaterThan" stopIfTrue="1">
      <formula>'Quarts Semis y Final'!#REF!</formula>
    </cfRule>
  </conditionalFormatting>
  <conditionalFormatting sqref="I7 I9 I11 I13 I19 I21 I27">
    <cfRule type="expression" priority="3" dxfId="0" stopIfTrue="1">
      <formula>ISERROR('Quarts Semis y Final'!I7)</formula>
    </cfRule>
    <cfRule type="cellIs" priority="4" dxfId="2" operator="greaterThan" stopIfTrue="1">
      <formula>'Quarts Semis y Final'!I8</formula>
    </cfRule>
  </conditionalFormatting>
  <conditionalFormatting sqref="L7:M14 M19:M28 L27:L28 L19:L24">
    <cfRule type="expression" priority="5" dxfId="2" stopIfTrue="1">
      <formula>'Quarts Semis y Final'!O7=1</formula>
    </cfRule>
    <cfRule type="expression" priority="6" dxfId="0" stopIfTrue="1">
      <formula>ISERROR('Quarts Semis y Final'!L7)</formula>
    </cfRule>
  </conditionalFormatting>
  <conditionalFormatting sqref="F7:F14 F19:F24">
    <cfRule type="expression" priority="7" dxfId="2" stopIfTrue="1">
      <formula>'Quarts Semis y Final'!O7=1</formula>
    </cfRule>
    <cfRule type="cellIs" priority="8" dxfId="0" operator="equal" stopIfTrue="1">
      <formula>0</formula>
    </cfRule>
  </conditionalFormatting>
  <conditionalFormatting sqref="N19:U28 B19:B28 X20:AC20 X22:AC24 X26:AC26 X28:AC28 B7:B14 X14:AC14 X8:AC8 X10:AC10 X12:AC12 N7:U14">
    <cfRule type="expression" priority="9" dxfId="0" stopIfTrue="1">
      <formula>ISERROR('Quarts Semis y Final'!B7)</formula>
    </cfRule>
  </conditionalFormatting>
  <conditionalFormatting sqref="F27:F28">
    <cfRule type="expression" priority="10" dxfId="2" stopIfTrue="1">
      <formula>'Quarts Semis y Final'!O27=1</formula>
    </cfRule>
    <cfRule type="cellIs" priority="11" dxfId="0" operator="equal" stopIfTrue="1">
      <formula>0</formula>
    </cfRule>
    <cfRule type="expression" priority="12" dxfId="0" stopIfTrue="1">
      <formula>ISERROR('Quarts Semis y Final'!F27)</formula>
    </cfRule>
  </conditionalFormatting>
  <printOptions horizontalCentered="1"/>
  <pageMargins left="0.1968503937007874" right="0.1968503937007874" top="0.7874015748031497" bottom="0.1968503937007874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I70"/>
  <sheetViews>
    <sheetView showGridLines="0" tabSelected="1" workbookViewId="0" topLeftCell="A1">
      <selection activeCell="A1" sqref="A1"/>
    </sheetView>
  </sheetViews>
  <sheetFormatPr defaultColWidth="11.57421875" defaultRowHeight="12.75"/>
  <cols>
    <col min="1" max="1" width="3.00390625" style="171" customWidth="1"/>
    <col min="2" max="2" width="3.421875" style="171" customWidth="1"/>
    <col min="3" max="3" width="5.00390625" style="29" customWidth="1"/>
    <col min="4" max="4" width="35.7109375" style="171" customWidth="1"/>
    <col min="5" max="9" width="10.8515625" style="171" customWidth="1"/>
    <col min="10" max="10" width="2.00390625" style="171" customWidth="1"/>
    <col min="11" max="16384" width="11.421875" style="171" customWidth="1"/>
  </cols>
  <sheetData>
    <row r="2" spans="3:9" ht="30" customHeight="1">
      <c r="C2" s="650" t="str">
        <f>'Ranquing Inicial'!E2</f>
        <v>I OPEN TRES BANDES C.B. MONFORTE</v>
      </c>
      <c r="D2" s="650"/>
      <c r="E2" s="650"/>
      <c r="F2" s="650"/>
      <c r="G2" s="650"/>
      <c r="H2" s="650"/>
      <c r="I2" s="650"/>
    </row>
    <row r="3" spans="3:9" ht="12.75" customHeight="1">
      <c r="C3" s="228"/>
      <c r="D3" s="170"/>
      <c r="E3" s="170"/>
      <c r="F3" s="170"/>
      <c r="G3" s="170"/>
      <c r="H3" s="170"/>
      <c r="I3" s="170"/>
    </row>
    <row r="4" spans="3:9" ht="30" customHeight="1">
      <c r="C4" s="651" t="s">
        <v>326</v>
      </c>
      <c r="D4" s="651"/>
      <c r="E4" s="651"/>
      <c r="F4" s="651"/>
      <c r="G4" s="651"/>
      <c r="H4" s="651"/>
      <c r="I4" s="651"/>
    </row>
    <row r="5" spans="3:9" ht="12.75" customHeight="1">
      <c r="C5" s="229"/>
      <c r="D5" s="178"/>
      <c r="E5" s="178"/>
      <c r="F5" s="178"/>
      <c r="G5" s="178"/>
      <c r="H5" s="178"/>
      <c r="I5" s="178"/>
    </row>
    <row r="6" spans="4:9" ht="15.75" customHeight="1" thickBot="1">
      <c r="D6" s="171" t="s">
        <v>262</v>
      </c>
      <c r="E6" s="172" t="s">
        <v>299</v>
      </c>
      <c r="F6" s="172" t="s">
        <v>298</v>
      </c>
      <c r="G6" s="172" t="s">
        <v>309</v>
      </c>
      <c r="H6" s="172" t="s">
        <v>300</v>
      </c>
      <c r="I6" s="172" t="s">
        <v>301</v>
      </c>
    </row>
    <row r="7" spans="3:9" s="216" customFormat="1" ht="24" customHeight="1">
      <c r="C7" s="239">
        <v>1</v>
      </c>
      <c r="D7" s="391" t="s">
        <v>22</v>
      </c>
      <c r="E7" s="392"/>
      <c r="F7" s="392"/>
      <c r="G7" s="393"/>
      <c r="H7" s="392"/>
      <c r="I7" s="394"/>
    </row>
    <row r="8" spans="3:9" s="216" customFormat="1" ht="24" customHeight="1">
      <c r="C8" s="240">
        <v>2</v>
      </c>
      <c r="D8" s="395" t="s">
        <v>251</v>
      </c>
      <c r="E8" s="396"/>
      <c r="F8" s="396"/>
      <c r="G8" s="397"/>
      <c r="H8" s="396"/>
      <c r="I8" s="398"/>
    </row>
    <row r="9" spans="2:9" s="216" customFormat="1" ht="24" customHeight="1">
      <c r="B9" s="669" t="s">
        <v>332</v>
      </c>
      <c r="C9" s="240">
        <v>3</v>
      </c>
      <c r="D9" s="395" t="s">
        <v>24</v>
      </c>
      <c r="E9" s="396"/>
      <c r="F9" s="396"/>
      <c r="G9" s="397"/>
      <c r="H9" s="396"/>
      <c r="I9" s="398"/>
    </row>
    <row r="10" spans="2:9" s="216" customFormat="1" ht="24" customHeight="1">
      <c r="B10" s="669"/>
      <c r="C10" s="240">
        <v>4</v>
      </c>
      <c r="D10" s="395" t="s">
        <v>217</v>
      </c>
      <c r="E10" s="396"/>
      <c r="F10" s="396"/>
      <c r="G10" s="397"/>
      <c r="H10" s="396"/>
      <c r="I10" s="398"/>
    </row>
    <row r="11" spans="2:9" s="216" customFormat="1" ht="24" customHeight="1">
      <c r="B11" s="669" t="s">
        <v>331</v>
      </c>
      <c r="C11" s="240">
        <v>5</v>
      </c>
      <c r="D11" s="395" t="s">
        <v>31</v>
      </c>
      <c r="E11" s="396"/>
      <c r="F11" s="396"/>
      <c r="G11" s="397"/>
      <c r="H11" s="396"/>
      <c r="I11" s="398"/>
    </row>
    <row r="12" spans="2:9" s="216" customFormat="1" ht="24" customHeight="1">
      <c r="B12" s="669"/>
      <c r="C12" s="240">
        <v>6</v>
      </c>
      <c r="D12" s="395" t="s">
        <v>252</v>
      </c>
      <c r="E12" s="396"/>
      <c r="F12" s="396"/>
      <c r="G12" s="397"/>
      <c r="H12" s="396"/>
      <c r="I12" s="398"/>
    </row>
    <row r="13" spans="2:9" s="216" customFormat="1" ht="24" customHeight="1">
      <c r="B13" s="669"/>
      <c r="C13" s="240">
        <v>7</v>
      </c>
      <c r="D13" s="395" t="s">
        <v>216</v>
      </c>
      <c r="E13" s="396"/>
      <c r="F13" s="396"/>
      <c r="G13" s="397"/>
      <c r="H13" s="396"/>
      <c r="I13" s="398"/>
    </row>
    <row r="14" spans="2:9" s="216" customFormat="1" ht="24" customHeight="1">
      <c r="B14" s="669"/>
      <c r="C14" s="240">
        <v>8</v>
      </c>
      <c r="D14" s="395" t="s">
        <v>25</v>
      </c>
      <c r="E14" s="396"/>
      <c r="F14" s="396"/>
      <c r="G14" s="397"/>
      <c r="H14" s="396"/>
      <c r="I14" s="398"/>
    </row>
    <row r="15" spans="2:9" s="216" customFormat="1" ht="24" customHeight="1">
      <c r="B15" s="668" t="s">
        <v>330</v>
      </c>
      <c r="C15" s="240">
        <v>9</v>
      </c>
      <c r="D15" s="395" t="s">
        <v>28</v>
      </c>
      <c r="E15" s="396"/>
      <c r="F15" s="396"/>
      <c r="G15" s="397"/>
      <c r="H15" s="396"/>
      <c r="I15" s="398"/>
    </row>
    <row r="16" spans="2:9" s="216" customFormat="1" ht="24" customHeight="1">
      <c r="B16" s="668"/>
      <c r="C16" s="240">
        <v>10</v>
      </c>
      <c r="D16" s="395" t="s">
        <v>253</v>
      </c>
      <c r="E16" s="396"/>
      <c r="F16" s="396"/>
      <c r="G16" s="397"/>
      <c r="H16" s="396"/>
      <c r="I16" s="398"/>
    </row>
    <row r="17" spans="2:9" s="216" customFormat="1" ht="24" customHeight="1">
      <c r="B17" s="668"/>
      <c r="C17" s="240">
        <v>11</v>
      </c>
      <c r="D17" s="395" t="s">
        <v>222</v>
      </c>
      <c r="E17" s="396"/>
      <c r="F17" s="396"/>
      <c r="G17" s="397"/>
      <c r="H17" s="396"/>
      <c r="I17" s="398"/>
    </row>
    <row r="18" spans="2:9" s="216" customFormat="1" ht="24" customHeight="1">
      <c r="B18" s="668"/>
      <c r="C18" s="240">
        <v>12</v>
      </c>
      <c r="D18" s="395" t="s">
        <v>219</v>
      </c>
      <c r="E18" s="396"/>
      <c r="F18" s="396"/>
      <c r="G18" s="397"/>
      <c r="H18" s="396"/>
      <c r="I18" s="398"/>
    </row>
    <row r="19" spans="2:9" s="216" customFormat="1" ht="24" customHeight="1">
      <c r="B19" s="668"/>
      <c r="C19" s="240">
        <v>13</v>
      </c>
      <c r="D19" s="395" t="s">
        <v>33</v>
      </c>
      <c r="E19" s="396"/>
      <c r="F19" s="396"/>
      <c r="G19" s="397"/>
      <c r="H19" s="396"/>
      <c r="I19" s="398"/>
    </row>
    <row r="20" spans="2:9" s="216" customFormat="1" ht="24" customHeight="1">
      <c r="B20" s="668"/>
      <c r="C20" s="240">
        <v>14</v>
      </c>
      <c r="D20" s="395" t="s">
        <v>220</v>
      </c>
      <c r="E20" s="396"/>
      <c r="F20" s="396"/>
      <c r="G20" s="397"/>
      <c r="H20" s="396"/>
      <c r="I20" s="398"/>
    </row>
    <row r="21" spans="2:9" s="216" customFormat="1" ht="24" customHeight="1">
      <c r="B21" s="668"/>
      <c r="C21" s="240">
        <v>15</v>
      </c>
      <c r="D21" s="395" t="s">
        <v>37</v>
      </c>
      <c r="E21" s="396"/>
      <c r="F21" s="396"/>
      <c r="G21" s="397"/>
      <c r="H21" s="396"/>
      <c r="I21" s="398"/>
    </row>
    <row r="22" spans="2:9" s="216" customFormat="1" ht="24" customHeight="1">
      <c r="B22" s="668"/>
      <c r="C22" s="240">
        <v>16</v>
      </c>
      <c r="D22" s="395" t="s">
        <v>225</v>
      </c>
      <c r="E22" s="396"/>
      <c r="F22" s="396"/>
      <c r="G22" s="397"/>
      <c r="H22" s="396"/>
      <c r="I22" s="398"/>
    </row>
    <row r="23" spans="2:9" ht="21" customHeight="1">
      <c r="B23" s="668" t="s">
        <v>329</v>
      </c>
      <c r="C23" s="240">
        <v>17</v>
      </c>
      <c r="D23" s="399" t="s">
        <v>226</v>
      </c>
      <c r="E23" s="400"/>
      <c r="F23" s="400"/>
      <c r="G23" s="401"/>
      <c r="H23" s="400"/>
      <c r="I23" s="402"/>
    </row>
    <row r="24" spans="2:9" ht="21" customHeight="1">
      <c r="B24" s="668"/>
      <c r="C24" s="240">
        <v>18</v>
      </c>
      <c r="D24" s="399" t="s">
        <v>221</v>
      </c>
      <c r="E24" s="400"/>
      <c r="F24" s="400"/>
      <c r="G24" s="401"/>
      <c r="H24" s="400"/>
      <c r="I24" s="402"/>
    </row>
    <row r="25" spans="2:9" ht="21" customHeight="1">
      <c r="B25" s="668"/>
      <c r="C25" s="240">
        <v>19</v>
      </c>
      <c r="D25" s="399" t="s">
        <v>227</v>
      </c>
      <c r="E25" s="400"/>
      <c r="F25" s="400"/>
      <c r="G25" s="401"/>
      <c r="H25" s="400"/>
      <c r="I25" s="402"/>
    </row>
    <row r="26" spans="2:9" ht="21" customHeight="1">
      <c r="B26" s="668"/>
      <c r="C26" s="240">
        <v>20</v>
      </c>
      <c r="D26" s="399" t="s">
        <v>228</v>
      </c>
      <c r="E26" s="400"/>
      <c r="F26" s="400"/>
      <c r="G26" s="401"/>
      <c r="H26" s="400"/>
      <c r="I26" s="402"/>
    </row>
    <row r="27" spans="2:9" ht="21" customHeight="1">
      <c r="B27" s="668"/>
      <c r="C27" s="240">
        <v>21</v>
      </c>
      <c r="D27" s="399" t="s">
        <v>40</v>
      </c>
      <c r="E27" s="400"/>
      <c r="F27" s="400"/>
      <c r="G27" s="401"/>
      <c r="H27" s="400"/>
      <c r="I27" s="402"/>
    </row>
    <row r="28" spans="2:9" ht="21" customHeight="1">
      <c r="B28" s="668"/>
      <c r="C28" s="240">
        <v>22</v>
      </c>
      <c r="D28" s="399" t="s">
        <v>44</v>
      </c>
      <c r="E28" s="400"/>
      <c r="F28" s="400"/>
      <c r="G28" s="401"/>
      <c r="H28" s="400"/>
      <c r="I28" s="402"/>
    </row>
    <row r="29" spans="2:9" ht="21" customHeight="1">
      <c r="B29" s="668"/>
      <c r="C29" s="240">
        <v>23</v>
      </c>
      <c r="D29" s="399" t="s">
        <v>254</v>
      </c>
      <c r="E29" s="400"/>
      <c r="F29" s="400"/>
      <c r="G29" s="401"/>
      <c r="H29" s="400"/>
      <c r="I29" s="402"/>
    </row>
    <row r="30" spans="2:9" ht="21" customHeight="1">
      <c r="B30" s="668"/>
      <c r="C30" s="240">
        <v>24</v>
      </c>
      <c r="D30" s="399" t="s">
        <v>218</v>
      </c>
      <c r="E30" s="400"/>
      <c r="F30" s="400"/>
      <c r="G30" s="401"/>
      <c r="H30" s="400"/>
      <c r="I30" s="402"/>
    </row>
    <row r="31" spans="2:9" ht="21" customHeight="1">
      <c r="B31" s="668"/>
      <c r="C31" s="240">
        <v>25</v>
      </c>
      <c r="D31" s="399" t="s">
        <v>43</v>
      </c>
      <c r="E31" s="400"/>
      <c r="F31" s="400"/>
      <c r="G31" s="401"/>
      <c r="H31" s="400"/>
      <c r="I31" s="402"/>
    </row>
    <row r="32" spans="2:9" ht="21" customHeight="1">
      <c r="B32" s="668"/>
      <c r="C32" s="240">
        <v>26</v>
      </c>
      <c r="D32" s="399" t="s">
        <v>41</v>
      </c>
      <c r="E32" s="400"/>
      <c r="F32" s="400"/>
      <c r="G32" s="401"/>
      <c r="H32" s="400"/>
      <c r="I32" s="402"/>
    </row>
    <row r="33" spans="2:9" ht="21" customHeight="1">
      <c r="B33" s="668"/>
      <c r="C33" s="240">
        <v>27</v>
      </c>
      <c r="D33" s="399" t="s">
        <v>255</v>
      </c>
      <c r="E33" s="400"/>
      <c r="F33" s="400"/>
      <c r="G33" s="401"/>
      <c r="H33" s="400"/>
      <c r="I33" s="402"/>
    </row>
    <row r="34" spans="2:9" ht="21" customHeight="1">
      <c r="B34" s="668"/>
      <c r="C34" s="240">
        <v>28</v>
      </c>
      <c r="D34" s="399" t="s">
        <v>232</v>
      </c>
      <c r="E34" s="400"/>
      <c r="F34" s="400"/>
      <c r="G34" s="401"/>
      <c r="H34" s="400"/>
      <c r="I34" s="402"/>
    </row>
    <row r="35" spans="2:9" ht="21" customHeight="1">
      <c r="B35" s="668"/>
      <c r="C35" s="240">
        <v>29</v>
      </c>
      <c r="D35" s="399" t="s">
        <v>223</v>
      </c>
      <c r="E35" s="400"/>
      <c r="F35" s="400"/>
      <c r="G35" s="401"/>
      <c r="H35" s="400"/>
      <c r="I35" s="402"/>
    </row>
    <row r="36" spans="2:9" ht="21" customHeight="1">
      <c r="B36" s="668"/>
      <c r="C36" s="240">
        <v>30</v>
      </c>
      <c r="D36" s="399" t="s">
        <v>35</v>
      </c>
      <c r="E36" s="400"/>
      <c r="F36" s="400"/>
      <c r="G36" s="401"/>
      <c r="H36" s="400"/>
      <c r="I36" s="402"/>
    </row>
    <row r="37" spans="2:9" ht="21" customHeight="1">
      <c r="B37" s="668"/>
      <c r="C37" s="240">
        <v>31</v>
      </c>
      <c r="D37" s="399" t="s">
        <v>47</v>
      </c>
      <c r="E37" s="400"/>
      <c r="F37" s="400"/>
      <c r="G37" s="401"/>
      <c r="H37" s="400"/>
      <c r="I37" s="402"/>
    </row>
    <row r="38" spans="2:9" ht="21" customHeight="1">
      <c r="B38" s="668"/>
      <c r="C38" s="240">
        <v>32</v>
      </c>
      <c r="D38" s="399" t="s">
        <v>54</v>
      </c>
      <c r="E38" s="400"/>
      <c r="F38" s="400"/>
      <c r="G38" s="401"/>
      <c r="H38" s="400"/>
      <c r="I38" s="402"/>
    </row>
    <row r="39" spans="2:9" ht="21" customHeight="1">
      <c r="B39" s="668" t="s">
        <v>328</v>
      </c>
      <c r="C39" s="239">
        <v>33</v>
      </c>
      <c r="D39" s="399" t="s">
        <v>224</v>
      </c>
      <c r="E39" s="400"/>
      <c r="F39" s="400"/>
      <c r="G39" s="401"/>
      <c r="H39" s="400"/>
      <c r="I39" s="402"/>
    </row>
    <row r="40" spans="2:9" ht="21" customHeight="1">
      <c r="B40" s="668"/>
      <c r="C40" s="240">
        <v>34</v>
      </c>
      <c r="D40" s="399" t="s">
        <v>231</v>
      </c>
      <c r="E40" s="400"/>
      <c r="F40" s="400"/>
      <c r="G40" s="401"/>
      <c r="H40" s="400"/>
      <c r="I40" s="402"/>
    </row>
    <row r="41" spans="2:9" ht="21" customHeight="1">
      <c r="B41" s="668"/>
      <c r="C41" s="240">
        <v>35</v>
      </c>
      <c r="D41" s="399" t="s">
        <v>256</v>
      </c>
      <c r="E41" s="400"/>
      <c r="F41" s="400"/>
      <c r="G41" s="401"/>
      <c r="H41" s="400"/>
      <c r="I41" s="402"/>
    </row>
    <row r="42" spans="2:9" ht="21" customHeight="1">
      <c r="B42" s="668"/>
      <c r="C42" s="240">
        <v>36</v>
      </c>
      <c r="D42" s="399" t="s">
        <v>229</v>
      </c>
      <c r="E42" s="400"/>
      <c r="F42" s="400"/>
      <c r="G42" s="401"/>
      <c r="H42" s="400"/>
      <c r="I42" s="402"/>
    </row>
    <row r="43" spans="2:9" ht="21" customHeight="1">
      <c r="B43" s="668"/>
      <c r="C43" s="240">
        <v>37</v>
      </c>
      <c r="D43" s="399" t="s">
        <v>45</v>
      </c>
      <c r="E43" s="400"/>
      <c r="F43" s="400"/>
      <c r="G43" s="401"/>
      <c r="H43" s="400"/>
      <c r="I43" s="402"/>
    </row>
    <row r="44" spans="2:9" ht="21" customHeight="1">
      <c r="B44" s="668"/>
      <c r="C44" s="240">
        <v>38</v>
      </c>
      <c r="D44" s="399" t="s">
        <v>237</v>
      </c>
      <c r="E44" s="400"/>
      <c r="F44" s="400"/>
      <c r="G44" s="401"/>
      <c r="H44" s="400"/>
      <c r="I44" s="402"/>
    </row>
    <row r="45" spans="2:9" ht="21" customHeight="1">
      <c r="B45" s="668"/>
      <c r="C45" s="240">
        <v>39</v>
      </c>
      <c r="D45" s="399" t="s">
        <v>58</v>
      </c>
      <c r="E45" s="400"/>
      <c r="F45" s="400"/>
      <c r="G45" s="401"/>
      <c r="H45" s="400"/>
      <c r="I45" s="402"/>
    </row>
    <row r="46" spans="2:9" ht="21" customHeight="1">
      <c r="B46" s="668"/>
      <c r="C46" s="240">
        <v>40</v>
      </c>
      <c r="D46" s="399" t="s">
        <v>42</v>
      </c>
      <c r="E46" s="400"/>
      <c r="F46" s="400"/>
      <c r="G46" s="401"/>
      <c r="H46" s="400"/>
      <c r="I46" s="402"/>
    </row>
    <row r="47" spans="2:9" ht="21" customHeight="1">
      <c r="B47" s="668"/>
      <c r="C47" s="240">
        <v>41</v>
      </c>
      <c r="D47" s="399" t="s">
        <v>52</v>
      </c>
      <c r="E47" s="400"/>
      <c r="F47" s="400"/>
      <c r="G47" s="401"/>
      <c r="H47" s="400"/>
      <c r="I47" s="402"/>
    </row>
    <row r="48" spans="2:9" ht="21" customHeight="1">
      <c r="B48" s="668"/>
      <c r="C48" s="240">
        <v>42</v>
      </c>
      <c r="D48" s="399" t="s">
        <v>48</v>
      </c>
      <c r="E48" s="400"/>
      <c r="F48" s="400"/>
      <c r="G48" s="401"/>
      <c r="H48" s="400"/>
      <c r="I48" s="402"/>
    </row>
    <row r="49" spans="2:9" ht="21" customHeight="1">
      <c r="B49" s="668"/>
      <c r="C49" s="240">
        <v>43</v>
      </c>
      <c r="D49" s="399" t="s">
        <v>235</v>
      </c>
      <c r="E49" s="400"/>
      <c r="F49" s="400"/>
      <c r="G49" s="401"/>
      <c r="H49" s="400"/>
      <c r="I49" s="402"/>
    </row>
    <row r="50" spans="2:9" ht="21" customHeight="1">
      <c r="B50" s="668"/>
      <c r="C50" s="240">
        <v>44</v>
      </c>
      <c r="D50" s="399" t="s">
        <v>234</v>
      </c>
      <c r="E50" s="400"/>
      <c r="F50" s="400"/>
      <c r="G50" s="401"/>
      <c r="H50" s="400"/>
      <c r="I50" s="402"/>
    </row>
    <row r="51" spans="2:9" ht="21" customHeight="1">
      <c r="B51" s="668"/>
      <c r="C51" s="240">
        <v>45</v>
      </c>
      <c r="D51" s="399" t="s">
        <v>49</v>
      </c>
      <c r="E51" s="400"/>
      <c r="F51" s="400"/>
      <c r="G51" s="401"/>
      <c r="H51" s="400"/>
      <c r="I51" s="402"/>
    </row>
    <row r="52" spans="2:9" ht="21" customHeight="1">
      <c r="B52" s="668"/>
      <c r="C52" s="240">
        <v>46</v>
      </c>
      <c r="D52" s="399" t="s">
        <v>230</v>
      </c>
      <c r="E52" s="400"/>
      <c r="F52" s="400"/>
      <c r="G52" s="401"/>
      <c r="H52" s="400"/>
      <c r="I52" s="402"/>
    </row>
    <row r="53" spans="2:9" ht="21" customHeight="1">
      <c r="B53" s="668"/>
      <c r="C53" s="240">
        <v>47</v>
      </c>
      <c r="D53" s="399" t="s">
        <v>238</v>
      </c>
      <c r="E53" s="400"/>
      <c r="F53" s="400"/>
      <c r="G53" s="401"/>
      <c r="H53" s="400"/>
      <c r="I53" s="402"/>
    </row>
    <row r="54" spans="2:9" ht="21" customHeight="1">
      <c r="B54" s="668"/>
      <c r="C54" s="240">
        <v>48</v>
      </c>
      <c r="D54" s="399" t="s">
        <v>240</v>
      </c>
      <c r="E54" s="400"/>
      <c r="F54" s="400"/>
      <c r="G54" s="401"/>
      <c r="H54" s="400"/>
      <c r="I54" s="402"/>
    </row>
    <row r="55" spans="2:9" ht="21" customHeight="1">
      <c r="B55" s="668" t="s">
        <v>327</v>
      </c>
      <c r="C55" s="240">
        <v>49</v>
      </c>
      <c r="D55" s="399" t="s">
        <v>56</v>
      </c>
      <c r="E55" s="400"/>
      <c r="F55" s="400"/>
      <c r="G55" s="401"/>
      <c r="H55" s="400"/>
      <c r="I55" s="402"/>
    </row>
    <row r="56" spans="2:9" ht="21" customHeight="1">
      <c r="B56" s="668"/>
      <c r="C56" s="240">
        <v>50</v>
      </c>
      <c r="D56" s="399" t="s">
        <v>46</v>
      </c>
      <c r="E56" s="400"/>
      <c r="F56" s="400"/>
      <c r="G56" s="401"/>
      <c r="H56" s="400"/>
      <c r="I56" s="402"/>
    </row>
    <row r="57" spans="2:9" ht="21" customHeight="1">
      <c r="B57" s="668"/>
      <c r="C57" s="240">
        <v>51</v>
      </c>
      <c r="D57" s="399" t="s">
        <v>233</v>
      </c>
      <c r="E57" s="400"/>
      <c r="F57" s="400"/>
      <c r="G57" s="401"/>
      <c r="H57" s="400"/>
      <c r="I57" s="402"/>
    </row>
    <row r="58" spans="2:9" ht="21" customHeight="1">
      <c r="B58" s="668"/>
      <c r="C58" s="240">
        <v>52</v>
      </c>
      <c r="D58" s="399" t="s">
        <v>243</v>
      </c>
      <c r="E58" s="400"/>
      <c r="F58" s="400"/>
      <c r="G58" s="401"/>
      <c r="H58" s="400"/>
      <c r="I58" s="402"/>
    </row>
    <row r="59" spans="2:9" ht="21" customHeight="1">
      <c r="B59" s="668"/>
      <c r="C59" s="240">
        <v>53</v>
      </c>
      <c r="D59" s="399" t="s">
        <v>53</v>
      </c>
      <c r="E59" s="400"/>
      <c r="F59" s="400"/>
      <c r="G59" s="401"/>
      <c r="H59" s="400"/>
      <c r="I59" s="402"/>
    </row>
    <row r="60" spans="2:9" ht="21" customHeight="1">
      <c r="B60" s="668"/>
      <c r="C60" s="240">
        <v>54</v>
      </c>
      <c r="D60" s="399" t="s">
        <v>241</v>
      </c>
      <c r="E60" s="400"/>
      <c r="F60" s="400"/>
      <c r="G60" s="401"/>
      <c r="H60" s="400"/>
      <c r="I60" s="402"/>
    </row>
    <row r="61" spans="2:9" ht="21" customHeight="1">
      <c r="B61" s="668"/>
      <c r="C61" s="240">
        <v>55</v>
      </c>
      <c r="D61" s="399" t="s">
        <v>55</v>
      </c>
      <c r="E61" s="400"/>
      <c r="F61" s="400"/>
      <c r="G61" s="401"/>
      <c r="H61" s="400"/>
      <c r="I61" s="402"/>
    </row>
    <row r="62" spans="2:9" ht="21" customHeight="1">
      <c r="B62" s="668"/>
      <c r="C62" s="240">
        <v>56</v>
      </c>
      <c r="D62" s="399" t="s">
        <v>57</v>
      </c>
      <c r="E62" s="400"/>
      <c r="F62" s="400"/>
      <c r="G62" s="401"/>
      <c r="H62" s="400"/>
      <c r="I62" s="402"/>
    </row>
    <row r="63" spans="2:9" ht="21" customHeight="1">
      <c r="B63" s="668"/>
      <c r="C63" s="240">
        <v>57</v>
      </c>
      <c r="D63" s="399" t="s">
        <v>59</v>
      </c>
      <c r="E63" s="400"/>
      <c r="F63" s="400"/>
      <c r="G63" s="401"/>
      <c r="H63" s="400"/>
      <c r="I63" s="402"/>
    </row>
    <row r="64" spans="2:9" ht="21" customHeight="1">
      <c r="B64" s="668"/>
      <c r="C64" s="240">
        <v>58</v>
      </c>
      <c r="D64" s="399" t="s">
        <v>242</v>
      </c>
      <c r="E64" s="400"/>
      <c r="F64" s="400"/>
      <c r="G64" s="401"/>
      <c r="H64" s="400"/>
      <c r="I64" s="402"/>
    </row>
    <row r="65" spans="2:9" ht="21" customHeight="1">
      <c r="B65" s="668"/>
      <c r="C65" s="240">
        <v>59</v>
      </c>
      <c r="D65" s="399" t="s">
        <v>62</v>
      </c>
      <c r="E65" s="400"/>
      <c r="F65" s="400"/>
      <c r="G65" s="401"/>
      <c r="H65" s="400"/>
      <c r="I65" s="402"/>
    </row>
    <row r="66" spans="2:9" ht="21" customHeight="1">
      <c r="B66" s="668"/>
      <c r="C66" s="240">
        <v>60</v>
      </c>
      <c r="D66" s="399" t="s">
        <v>239</v>
      </c>
      <c r="E66" s="400"/>
      <c r="F66" s="400"/>
      <c r="G66" s="401"/>
      <c r="H66" s="400"/>
      <c r="I66" s="402"/>
    </row>
    <row r="67" spans="2:9" ht="21" customHeight="1">
      <c r="B67" s="668"/>
      <c r="C67" s="240">
        <v>61</v>
      </c>
      <c r="D67" s="399" t="s">
        <v>257</v>
      </c>
      <c r="E67" s="400"/>
      <c r="F67" s="400"/>
      <c r="G67" s="401"/>
      <c r="H67" s="400"/>
      <c r="I67" s="402"/>
    </row>
    <row r="68" spans="2:9" ht="21" customHeight="1">
      <c r="B68" s="668"/>
      <c r="C68" s="240">
        <v>62</v>
      </c>
      <c r="D68" s="399" t="s">
        <v>236</v>
      </c>
      <c r="E68" s="400"/>
      <c r="F68" s="400"/>
      <c r="G68" s="401"/>
      <c r="H68" s="400"/>
      <c r="I68" s="402"/>
    </row>
    <row r="69" spans="2:9" ht="21" customHeight="1">
      <c r="B69" s="668"/>
      <c r="C69" s="240">
        <v>63</v>
      </c>
      <c r="D69" s="399" t="s">
        <v>60</v>
      </c>
      <c r="E69" s="400"/>
      <c r="F69" s="400"/>
      <c r="G69" s="401"/>
      <c r="H69" s="400"/>
      <c r="I69" s="402"/>
    </row>
    <row r="70" spans="2:9" ht="21" customHeight="1" thickBot="1">
      <c r="B70" s="668"/>
      <c r="C70" s="241">
        <v>64</v>
      </c>
      <c r="D70" s="403" t="s">
        <v>63</v>
      </c>
      <c r="E70" s="404"/>
      <c r="F70" s="404"/>
      <c r="G70" s="405"/>
      <c r="H70" s="404"/>
      <c r="I70" s="406"/>
    </row>
  </sheetData>
  <sheetProtection/>
  <mergeCells count="8">
    <mergeCell ref="C2:I2"/>
    <mergeCell ref="C4:I4"/>
    <mergeCell ref="B55:B70"/>
    <mergeCell ref="B39:B54"/>
    <mergeCell ref="B23:B38"/>
    <mergeCell ref="B15:B22"/>
    <mergeCell ref="B11:B14"/>
    <mergeCell ref="B9:B10"/>
  </mergeCells>
  <printOptions/>
  <pageMargins left="0.3937007874015748" right="0.1968503937007874" top="0.3937007874015748" bottom="0.1968503937007874" header="0" footer="0"/>
  <pageSetup orientation="portrait" paperSize="9"/>
  <rowBreaks count="1" manualBreakCount="1">
    <brk id="38" max="255" man="1"/>
  </rowBreaks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00"/>
  <sheetViews>
    <sheetView zoomScale="90" zoomScaleNormal="90" workbookViewId="0" topLeftCell="A1">
      <selection activeCell="A1" sqref="A1"/>
    </sheetView>
  </sheetViews>
  <sheetFormatPr defaultColWidth="11.421875" defaultRowHeight="12.75"/>
  <cols>
    <col min="1" max="1" width="2.28125" style="0" customWidth="1"/>
    <col min="2" max="23" width="7.421875" style="0" customWidth="1"/>
    <col min="24" max="24" width="2.28125" style="0" customWidth="1"/>
  </cols>
  <sheetData>
    <row r="1" spans="1:37" ht="12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</row>
    <row r="2" spans="1:37" ht="37.5">
      <c r="A2" s="56"/>
      <c r="B2" s="56"/>
      <c r="C2" s="56"/>
      <c r="D2" s="56"/>
      <c r="E2" s="409" t="s">
        <v>173</v>
      </c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  <c r="R2" s="409"/>
      <c r="S2" s="409"/>
      <c r="T2" s="409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</row>
    <row r="3" spans="1:37" ht="53.25" customHeight="1">
      <c r="A3" s="56"/>
      <c r="B3" s="56"/>
      <c r="C3" s="56"/>
      <c r="D3" s="56"/>
      <c r="E3" s="56"/>
      <c r="F3" s="56"/>
      <c r="G3" s="410" t="s">
        <v>175</v>
      </c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</row>
    <row r="4" spans="1:37" ht="13.5" thickBo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</row>
    <row r="5" spans="1:37" ht="27" customHeight="1" thickTop="1">
      <c r="A5" s="56"/>
      <c r="B5" s="56"/>
      <c r="C5" s="56"/>
      <c r="D5" s="56"/>
      <c r="E5" s="5" t="s">
        <v>0</v>
      </c>
      <c r="F5" s="7" t="s">
        <v>1</v>
      </c>
      <c r="G5" s="8" t="s">
        <v>2</v>
      </c>
      <c r="H5" s="7" t="s">
        <v>3</v>
      </c>
      <c r="I5" s="7" t="s">
        <v>4</v>
      </c>
      <c r="J5" s="8" t="s">
        <v>5</v>
      </c>
      <c r="K5" s="7" t="s">
        <v>6</v>
      </c>
      <c r="L5" s="8" t="s">
        <v>7</v>
      </c>
      <c r="M5" s="7" t="s">
        <v>8</v>
      </c>
      <c r="N5" s="8" t="s">
        <v>9</v>
      </c>
      <c r="O5" s="7" t="s">
        <v>10</v>
      </c>
      <c r="P5" s="8" t="s">
        <v>11</v>
      </c>
      <c r="Q5" s="7" t="s">
        <v>12</v>
      </c>
      <c r="R5" s="8" t="s">
        <v>13</v>
      </c>
      <c r="S5" s="7" t="s">
        <v>14</v>
      </c>
      <c r="T5" s="6" t="s">
        <v>15</v>
      </c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</row>
    <row r="6" spans="1:37" ht="27" customHeight="1">
      <c r="A6" s="56"/>
      <c r="B6" s="56"/>
      <c r="C6" s="56"/>
      <c r="D6" s="56"/>
      <c r="E6" s="9">
        <v>17</v>
      </c>
      <c r="F6" s="15">
        <v>18</v>
      </c>
      <c r="G6" s="11">
        <v>19</v>
      </c>
      <c r="H6" s="15">
        <v>20</v>
      </c>
      <c r="I6" s="15">
        <v>21</v>
      </c>
      <c r="J6" s="11">
        <v>22</v>
      </c>
      <c r="K6" s="15">
        <v>23</v>
      </c>
      <c r="L6" s="11">
        <v>24</v>
      </c>
      <c r="M6" s="15">
        <v>25</v>
      </c>
      <c r="N6" s="11">
        <v>26</v>
      </c>
      <c r="O6" s="15">
        <v>27</v>
      </c>
      <c r="P6" s="11">
        <v>28</v>
      </c>
      <c r="Q6" s="15">
        <v>29</v>
      </c>
      <c r="R6" s="11">
        <v>30</v>
      </c>
      <c r="S6" s="15">
        <v>31</v>
      </c>
      <c r="T6" s="13">
        <v>32</v>
      </c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</row>
    <row r="7" spans="1:37" ht="27" customHeight="1">
      <c r="A7" s="56"/>
      <c r="B7" s="56"/>
      <c r="C7" s="56"/>
      <c r="D7" s="56"/>
      <c r="E7" s="9">
        <v>48</v>
      </c>
      <c r="F7" s="15">
        <v>47</v>
      </c>
      <c r="G7" s="11">
        <v>46</v>
      </c>
      <c r="H7" s="15">
        <v>45</v>
      </c>
      <c r="I7" s="15">
        <v>44</v>
      </c>
      <c r="J7" s="11">
        <v>43</v>
      </c>
      <c r="K7" s="15">
        <v>42</v>
      </c>
      <c r="L7" s="11">
        <v>41</v>
      </c>
      <c r="M7" s="15">
        <v>40</v>
      </c>
      <c r="N7" s="11">
        <v>39</v>
      </c>
      <c r="O7" s="15">
        <v>38</v>
      </c>
      <c r="P7" s="11">
        <v>37</v>
      </c>
      <c r="Q7" s="15">
        <v>36</v>
      </c>
      <c r="R7" s="11">
        <v>35</v>
      </c>
      <c r="S7" s="15">
        <v>34</v>
      </c>
      <c r="T7" s="13">
        <v>33</v>
      </c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</row>
    <row r="8" spans="1:37" ht="27" customHeight="1" thickBot="1">
      <c r="A8" s="56"/>
      <c r="B8" s="56"/>
      <c r="C8" s="56"/>
      <c r="D8" s="56"/>
      <c r="E8" s="10">
        <v>64</v>
      </c>
      <c r="F8" s="16">
        <v>63</v>
      </c>
      <c r="G8" s="12">
        <v>62</v>
      </c>
      <c r="H8" s="16">
        <v>61</v>
      </c>
      <c r="I8" s="16">
        <v>60</v>
      </c>
      <c r="J8" s="12">
        <v>59</v>
      </c>
      <c r="K8" s="16">
        <v>58</v>
      </c>
      <c r="L8" s="12">
        <v>57</v>
      </c>
      <c r="M8" s="16">
        <v>56</v>
      </c>
      <c r="N8" s="12">
        <v>55</v>
      </c>
      <c r="O8" s="16">
        <v>54</v>
      </c>
      <c r="P8" s="12">
        <v>53</v>
      </c>
      <c r="Q8" s="16">
        <v>52</v>
      </c>
      <c r="R8" s="12">
        <v>51</v>
      </c>
      <c r="S8" s="16">
        <v>50</v>
      </c>
      <c r="T8" s="14">
        <v>49</v>
      </c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</row>
    <row r="9" spans="1:37" ht="18" customHeight="1" thickBot="1" thickTop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</row>
    <row r="10" spans="1:37" ht="24" customHeight="1" thickBot="1">
      <c r="A10" s="56"/>
      <c r="B10" s="440" t="s">
        <v>170</v>
      </c>
      <c r="C10" s="441"/>
      <c r="D10" s="441"/>
      <c r="E10" s="441"/>
      <c r="F10" s="441"/>
      <c r="G10" s="441"/>
      <c r="H10" s="441"/>
      <c r="I10" s="441"/>
      <c r="J10" s="441"/>
      <c r="K10" s="442"/>
      <c r="L10" s="81"/>
      <c r="M10" s="82"/>
      <c r="N10" s="478" t="s">
        <v>171</v>
      </c>
      <c r="O10" s="479"/>
      <c r="P10" s="479"/>
      <c r="Q10" s="479"/>
      <c r="R10" s="479"/>
      <c r="S10" s="479"/>
      <c r="T10" s="479"/>
      <c r="U10" s="479"/>
      <c r="V10" s="479"/>
      <c r="W10" s="480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</row>
    <row r="11" spans="1:37" ht="30" customHeight="1" thickBot="1">
      <c r="A11" s="56"/>
      <c r="B11" s="3"/>
      <c r="C11" s="4"/>
      <c r="D11" s="443" t="s">
        <v>72</v>
      </c>
      <c r="E11" s="444"/>
      <c r="F11" s="444"/>
      <c r="G11" s="444"/>
      <c r="H11" s="444"/>
      <c r="I11" s="444"/>
      <c r="J11" s="444"/>
      <c r="K11" s="445"/>
      <c r="L11" s="83"/>
      <c r="M11" s="84"/>
      <c r="N11" s="1"/>
      <c r="O11" s="2"/>
      <c r="P11" s="481" t="s">
        <v>72</v>
      </c>
      <c r="Q11" s="482"/>
      <c r="R11" s="482"/>
      <c r="S11" s="482"/>
      <c r="T11" s="482"/>
      <c r="U11" s="482"/>
      <c r="V11" s="482"/>
      <c r="W11" s="48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</row>
    <row r="12" spans="1:37" ht="30" customHeight="1" thickBot="1">
      <c r="A12" s="56"/>
      <c r="B12" s="446" t="s">
        <v>74</v>
      </c>
      <c r="C12" s="447"/>
      <c r="D12" s="448">
        <v>1</v>
      </c>
      <c r="E12" s="449"/>
      <c r="F12" s="450">
        <v>2</v>
      </c>
      <c r="G12" s="449"/>
      <c r="H12" s="450">
        <v>3</v>
      </c>
      <c r="I12" s="449"/>
      <c r="J12" s="450">
        <v>4</v>
      </c>
      <c r="K12" s="451"/>
      <c r="L12" s="83"/>
      <c r="M12" s="84"/>
      <c r="N12" s="469" t="s">
        <v>74</v>
      </c>
      <c r="O12" s="470"/>
      <c r="P12" s="471">
        <v>1</v>
      </c>
      <c r="Q12" s="467"/>
      <c r="R12" s="466">
        <v>2</v>
      </c>
      <c r="S12" s="467"/>
      <c r="T12" s="466">
        <v>3</v>
      </c>
      <c r="U12" s="467"/>
      <c r="V12" s="466">
        <v>4</v>
      </c>
      <c r="W12" s="468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</row>
    <row r="13" spans="1:37" ht="33" customHeight="1">
      <c r="A13" s="56"/>
      <c r="B13" s="436">
        <v>0.3958333333333333</v>
      </c>
      <c r="C13" s="437"/>
      <c r="D13" s="438" t="s">
        <v>154</v>
      </c>
      <c r="E13" s="439"/>
      <c r="F13" s="439" t="s">
        <v>156</v>
      </c>
      <c r="G13" s="439"/>
      <c r="H13" s="439" t="s">
        <v>158</v>
      </c>
      <c r="I13" s="439"/>
      <c r="J13" s="439" t="s">
        <v>160</v>
      </c>
      <c r="K13" s="452"/>
      <c r="L13" s="85"/>
      <c r="M13" s="86"/>
      <c r="N13" s="474">
        <v>0.3958333333333333</v>
      </c>
      <c r="O13" s="475"/>
      <c r="P13" s="472" t="s">
        <v>162</v>
      </c>
      <c r="Q13" s="473"/>
      <c r="R13" s="484" t="s">
        <v>164</v>
      </c>
      <c r="S13" s="473"/>
      <c r="T13" s="486" t="s">
        <v>166</v>
      </c>
      <c r="U13" s="473"/>
      <c r="V13" s="484" t="s">
        <v>168</v>
      </c>
      <c r="W13" s="485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</row>
    <row r="14" spans="1:37" ht="33" customHeight="1">
      <c r="A14" s="56"/>
      <c r="B14" s="457">
        <v>0.4583333333333333</v>
      </c>
      <c r="C14" s="458"/>
      <c r="D14" s="460" t="s">
        <v>155</v>
      </c>
      <c r="E14" s="453"/>
      <c r="F14" s="453" t="s">
        <v>157</v>
      </c>
      <c r="G14" s="453"/>
      <c r="H14" s="453" t="s">
        <v>159</v>
      </c>
      <c r="I14" s="453"/>
      <c r="J14" s="453" t="s">
        <v>161</v>
      </c>
      <c r="K14" s="456"/>
      <c r="L14" s="85"/>
      <c r="M14" s="86"/>
      <c r="N14" s="474">
        <v>0.4583333333333333</v>
      </c>
      <c r="O14" s="475"/>
      <c r="P14" s="472" t="s">
        <v>163</v>
      </c>
      <c r="Q14" s="473"/>
      <c r="R14" s="484" t="s">
        <v>165</v>
      </c>
      <c r="S14" s="473"/>
      <c r="T14" s="484" t="s">
        <v>167</v>
      </c>
      <c r="U14" s="473"/>
      <c r="V14" s="484" t="s">
        <v>169</v>
      </c>
      <c r="W14" s="485"/>
      <c r="X14" s="56"/>
      <c r="Y14" s="56"/>
      <c r="Z14" s="191"/>
      <c r="AA14" s="187"/>
      <c r="AB14" s="56"/>
      <c r="AC14" s="56"/>
      <c r="AD14" s="56"/>
      <c r="AE14" s="56"/>
      <c r="AF14" s="56"/>
      <c r="AG14" s="56"/>
      <c r="AH14" s="56"/>
      <c r="AI14" s="56"/>
      <c r="AJ14" s="56"/>
      <c r="AK14" s="56"/>
    </row>
    <row r="15" spans="1:37" ht="33" customHeight="1">
      <c r="A15" s="56"/>
      <c r="B15" s="457">
        <v>0.5208333333333334</v>
      </c>
      <c r="C15" s="458"/>
      <c r="D15" s="459" t="s">
        <v>122</v>
      </c>
      <c r="E15" s="454"/>
      <c r="F15" s="454" t="s">
        <v>126</v>
      </c>
      <c r="G15" s="454"/>
      <c r="H15" s="454" t="s">
        <v>130</v>
      </c>
      <c r="I15" s="454"/>
      <c r="J15" s="454" t="s">
        <v>134</v>
      </c>
      <c r="K15" s="455"/>
      <c r="L15" s="85"/>
      <c r="M15" s="86"/>
      <c r="N15" s="474">
        <v>0.5208333333333334</v>
      </c>
      <c r="O15" s="475"/>
      <c r="P15" s="476" t="s">
        <v>138</v>
      </c>
      <c r="Q15" s="477"/>
      <c r="R15" s="487" t="s">
        <v>142</v>
      </c>
      <c r="S15" s="477"/>
      <c r="T15" s="487" t="s">
        <v>146</v>
      </c>
      <c r="U15" s="477"/>
      <c r="V15" s="487" t="s">
        <v>150</v>
      </c>
      <c r="W15" s="499"/>
      <c r="X15" s="56"/>
      <c r="Y15" s="56"/>
      <c r="Z15" s="192"/>
      <c r="AA15" s="187"/>
      <c r="AB15" s="56"/>
      <c r="AC15" s="56"/>
      <c r="AD15" s="56"/>
      <c r="AE15" s="56"/>
      <c r="AF15" s="56"/>
      <c r="AG15" s="56"/>
      <c r="AH15" s="56"/>
      <c r="AI15" s="56"/>
      <c r="AJ15" s="56"/>
      <c r="AK15" s="56"/>
    </row>
    <row r="16" spans="1:37" ht="33" customHeight="1">
      <c r="A16" s="56"/>
      <c r="B16" s="457">
        <v>0.6666666666666666</v>
      </c>
      <c r="C16" s="458"/>
      <c r="D16" s="459" t="s">
        <v>123</v>
      </c>
      <c r="E16" s="454"/>
      <c r="F16" s="454" t="s">
        <v>127</v>
      </c>
      <c r="G16" s="454"/>
      <c r="H16" s="454" t="s">
        <v>131</v>
      </c>
      <c r="I16" s="454"/>
      <c r="J16" s="454" t="s">
        <v>135</v>
      </c>
      <c r="K16" s="455"/>
      <c r="L16" s="85"/>
      <c r="M16" s="86"/>
      <c r="N16" s="491">
        <v>0.6666666666666666</v>
      </c>
      <c r="O16" s="492"/>
      <c r="P16" s="493" t="s">
        <v>139</v>
      </c>
      <c r="Q16" s="489"/>
      <c r="R16" s="488" t="s">
        <v>143</v>
      </c>
      <c r="S16" s="489"/>
      <c r="T16" s="487" t="s">
        <v>147</v>
      </c>
      <c r="U16" s="477"/>
      <c r="V16" s="477" t="s">
        <v>151</v>
      </c>
      <c r="W16" s="501"/>
      <c r="X16" s="56"/>
      <c r="Y16" s="56"/>
      <c r="Z16" s="191"/>
      <c r="AA16" s="187"/>
      <c r="AB16" s="56"/>
      <c r="AC16" s="56"/>
      <c r="AD16" s="56"/>
      <c r="AE16" s="56"/>
      <c r="AF16" s="56"/>
      <c r="AG16" s="56"/>
      <c r="AH16" s="56"/>
      <c r="AI16" s="56"/>
      <c r="AJ16" s="56"/>
      <c r="AK16" s="56"/>
    </row>
    <row r="17" spans="1:37" ht="33" customHeight="1">
      <c r="A17" s="56"/>
      <c r="B17" s="457">
        <v>0.7291666666666666</v>
      </c>
      <c r="C17" s="458"/>
      <c r="D17" s="459" t="s">
        <v>124</v>
      </c>
      <c r="E17" s="454"/>
      <c r="F17" s="454" t="s">
        <v>128</v>
      </c>
      <c r="G17" s="454"/>
      <c r="H17" s="454" t="s">
        <v>132</v>
      </c>
      <c r="I17" s="454"/>
      <c r="J17" s="454" t="s">
        <v>136</v>
      </c>
      <c r="K17" s="455"/>
      <c r="L17" s="85"/>
      <c r="M17" s="86"/>
      <c r="N17" s="457">
        <v>0.7291666666666666</v>
      </c>
      <c r="O17" s="458"/>
      <c r="P17" s="533" t="s">
        <v>140</v>
      </c>
      <c r="Q17" s="498"/>
      <c r="R17" s="498" t="s">
        <v>144</v>
      </c>
      <c r="S17" s="498"/>
      <c r="T17" s="498" t="s">
        <v>148</v>
      </c>
      <c r="U17" s="498"/>
      <c r="V17" s="498" t="s">
        <v>152</v>
      </c>
      <c r="W17" s="501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</row>
    <row r="18" spans="1:37" ht="33" customHeight="1" thickBot="1">
      <c r="A18" s="56"/>
      <c r="B18" s="463">
        <v>0.7916666666666666</v>
      </c>
      <c r="C18" s="464"/>
      <c r="D18" s="465" t="s">
        <v>125</v>
      </c>
      <c r="E18" s="461"/>
      <c r="F18" s="461" t="s">
        <v>129</v>
      </c>
      <c r="G18" s="461"/>
      <c r="H18" s="461" t="s">
        <v>133</v>
      </c>
      <c r="I18" s="461"/>
      <c r="J18" s="461" t="s">
        <v>137</v>
      </c>
      <c r="K18" s="462"/>
      <c r="L18" s="85"/>
      <c r="M18" s="86"/>
      <c r="N18" s="494">
        <v>0.7916666666666666</v>
      </c>
      <c r="O18" s="495"/>
      <c r="P18" s="496" t="s">
        <v>141</v>
      </c>
      <c r="Q18" s="497"/>
      <c r="R18" s="490" t="s">
        <v>145</v>
      </c>
      <c r="S18" s="490"/>
      <c r="T18" s="490" t="s">
        <v>149</v>
      </c>
      <c r="U18" s="490"/>
      <c r="V18" s="490" t="s">
        <v>153</v>
      </c>
      <c r="W18" s="500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</row>
    <row r="19" spans="1:37" ht="18" customHeight="1" thickBot="1">
      <c r="A19" s="56"/>
      <c r="B19" s="61"/>
      <c r="C19" s="61"/>
      <c r="D19" s="62"/>
      <c r="E19" s="62"/>
      <c r="F19" s="62"/>
      <c r="G19" s="62"/>
      <c r="H19" s="62"/>
      <c r="I19" s="62"/>
      <c r="J19" s="62"/>
      <c r="K19" s="62"/>
      <c r="L19" s="63"/>
      <c r="M19" s="63"/>
      <c r="N19" s="61"/>
      <c r="O19" s="61"/>
      <c r="P19" s="62"/>
      <c r="Q19" s="62"/>
      <c r="R19" s="62"/>
      <c r="S19" s="62"/>
      <c r="T19" s="62"/>
      <c r="U19" s="62"/>
      <c r="V19" s="62"/>
      <c r="W19" s="62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</row>
    <row r="20" spans="1:37" s="29" customFormat="1" ht="19.5" customHeight="1">
      <c r="A20" s="60"/>
      <c r="B20" s="30" t="s">
        <v>174</v>
      </c>
      <c r="C20" s="31"/>
      <c r="D20" s="31"/>
      <c r="E20" s="31"/>
      <c r="F20" s="31"/>
      <c r="G20" s="31"/>
      <c r="H20" s="31"/>
      <c r="I20" s="31"/>
      <c r="J20" s="31"/>
      <c r="K20" s="32"/>
      <c r="L20" s="64"/>
      <c r="M20" s="64"/>
      <c r="N20" s="39" t="s">
        <v>118</v>
      </c>
      <c r="O20" s="40"/>
      <c r="P20" s="41"/>
      <c r="Q20" s="41"/>
      <c r="R20" s="41"/>
      <c r="S20" s="41"/>
      <c r="T20" s="41"/>
      <c r="U20" s="41"/>
      <c r="V20" s="41"/>
      <c r="W20" s="42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</row>
    <row r="21" spans="1:37" s="29" customFormat="1" ht="19.5" customHeight="1">
      <c r="A21" s="60"/>
      <c r="B21" s="33" t="s">
        <v>114</v>
      </c>
      <c r="C21" s="34"/>
      <c r="D21" s="34"/>
      <c r="E21" s="34"/>
      <c r="F21" s="34"/>
      <c r="G21" s="34"/>
      <c r="H21" s="34"/>
      <c r="I21" s="34"/>
      <c r="J21" s="34"/>
      <c r="K21" s="35"/>
      <c r="L21" s="65"/>
      <c r="M21" s="65"/>
      <c r="N21" s="43"/>
      <c r="O21" s="44"/>
      <c r="P21" s="530" t="s">
        <v>120</v>
      </c>
      <c r="Q21" s="531"/>
      <c r="R21" s="531"/>
      <c r="S21" s="531"/>
      <c r="T21" s="531"/>
      <c r="U21" s="531"/>
      <c r="V21" s="531"/>
      <c r="W21" s="532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</row>
    <row r="22" spans="1:37" s="29" customFormat="1" ht="19.5" customHeight="1">
      <c r="A22" s="60"/>
      <c r="B22" s="33" t="s">
        <v>115</v>
      </c>
      <c r="C22" s="34"/>
      <c r="D22" s="34"/>
      <c r="E22" s="34"/>
      <c r="F22" s="34"/>
      <c r="G22" s="34"/>
      <c r="H22" s="34"/>
      <c r="I22" s="34"/>
      <c r="J22" s="34"/>
      <c r="K22" s="35"/>
      <c r="L22" s="65"/>
      <c r="M22" s="65"/>
      <c r="N22" s="45"/>
      <c r="O22" s="44"/>
      <c r="P22" s="530" t="s">
        <v>121</v>
      </c>
      <c r="Q22" s="531"/>
      <c r="R22" s="531"/>
      <c r="S22" s="531"/>
      <c r="T22" s="531"/>
      <c r="U22" s="531"/>
      <c r="V22" s="531"/>
      <c r="W22" s="532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</row>
    <row r="23" spans="1:37" s="29" customFormat="1" ht="19.5" customHeight="1" thickBot="1">
      <c r="A23" s="60"/>
      <c r="B23" s="33" t="s">
        <v>116</v>
      </c>
      <c r="C23" s="34"/>
      <c r="D23" s="34"/>
      <c r="E23" s="34"/>
      <c r="F23" s="34"/>
      <c r="G23" s="34"/>
      <c r="H23" s="34"/>
      <c r="I23" s="34"/>
      <c r="J23" s="34"/>
      <c r="K23" s="35"/>
      <c r="L23" s="65"/>
      <c r="M23" s="65"/>
      <c r="N23" s="527" t="s">
        <v>119</v>
      </c>
      <c r="O23" s="528"/>
      <c r="P23" s="528"/>
      <c r="Q23" s="528"/>
      <c r="R23" s="528"/>
      <c r="S23" s="528"/>
      <c r="T23" s="528"/>
      <c r="U23" s="528"/>
      <c r="V23" s="528"/>
      <c r="W23" s="529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</row>
    <row r="24" spans="1:37" s="29" customFormat="1" ht="19.5" customHeight="1" thickBot="1">
      <c r="A24" s="60"/>
      <c r="B24" s="36" t="s">
        <v>117</v>
      </c>
      <c r="C24" s="37"/>
      <c r="D24" s="37"/>
      <c r="E24" s="37"/>
      <c r="F24" s="37"/>
      <c r="G24" s="37"/>
      <c r="H24" s="37"/>
      <c r="I24" s="37"/>
      <c r="J24" s="37"/>
      <c r="K24" s="38"/>
      <c r="L24" s="65"/>
      <c r="M24" s="65"/>
      <c r="N24" s="66"/>
      <c r="O24" s="66"/>
      <c r="P24" s="67"/>
      <c r="Q24" s="67"/>
      <c r="R24" s="67"/>
      <c r="S24" s="67"/>
      <c r="T24" s="67"/>
      <c r="U24" s="67"/>
      <c r="V24" s="67"/>
      <c r="W24" s="67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</row>
    <row r="25" spans="1:37" ht="7.5" customHeight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</row>
    <row r="26" spans="1:37" ht="7.5" customHeight="1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</row>
    <row r="27" spans="1:37" ht="29.25" customHeight="1">
      <c r="A27" s="56"/>
      <c r="B27" s="56"/>
      <c r="C27" s="534" t="s">
        <v>170</v>
      </c>
      <c r="D27" s="534"/>
      <c r="E27" s="534"/>
      <c r="F27" s="534"/>
      <c r="G27" s="534"/>
      <c r="H27" s="534"/>
      <c r="I27" s="534"/>
      <c r="J27" s="534"/>
      <c r="K27" s="534"/>
      <c r="L27" s="56"/>
      <c r="M27" s="56"/>
      <c r="N27" s="526" t="s">
        <v>171</v>
      </c>
      <c r="O27" s="526"/>
      <c r="P27" s="526"/>
      <c r="Q27" s="526"/>
      <c r="R27" s="526"/>
      <c r="S27" s="526"/>
      <c r="T27" s="526"/>
      <c r="U27" s="526"/>
      <c r="V27" s="52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</row>
    <row r="28" spans="1:37" ht="15" customHeight="1" thickBot="1">
      <c r="A28" s="56"/>
      <c r="B28" s="56"/>
      <c r="C28" s="56"/>
      <c r="D28" s="68" t="s">
        <v>172</v>
      </c>
      <c r="E28" s="56"/>
      <c r="F28" s="87">
        <v>42343</v>
      </c>
      <c r="G28" s="56"/>
      <c r="H28" s="56"/>
      <c r="I28" s="56"/>
      <c r="J28" s="56"/>
      <c r="K28" s="56"/>
      <c r="L28" s="56"/>
      <c r="M28" s="56"/>
      <c r="N28" s="56"/>
      <c r="O28" s="68" t="s">
        <v>172</v>
      </c>
      <c r="P28" s="56"/>
      <c r="Q28" s="87">
        <v>42344</v>
      </c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</row>
    <row r="29" spans="1:37" ht="23.25" customHeight="1">
      <c r="A29" s="56"/>
      <c r="B29" s="56"/>
      <c r="C29" s="514" t="s">
        <v>0</v>
      </c>
      <c r="D29" s="17">
        <v>17</v>
      </c>
      <c r="E29" s="18" t="s">
        <v>64</v>
      </c>
      <c r="F29" s="517" t="s">
        <v>37</v>
      </c>
      <c r="G29" s="518"/>
      <c r="H29" s="518"/>
      <c r="I29" s="518"/>
      <c r="J29" s="518"/>
      <c r="K29" s="519"/>
      <c r="L29" s="69"/>
      <c r="M29" s="69"/>
      <c r="N29" s="502" t="s">
        <v>1</v>
      </c>
      <c r="O29" s="23">
        <v>18</v>
      </c>
      <c r="P29" s="24" t="s">
        <v>67</v>
      </c>
      <c r="Q29" s="505" t="s">
        <v>222</v>
      </c>
      <c r="R29" s="506"/>
      <c r="S29" s="506"/>
      <c r="T29" s="506"/>
      <c r="U29" s="506"/>
      <c r="V29" s="507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</row>
    <row r="30" spans="1:37" ht="23.25" customHeight="1">
      <c r="A30" s="56"/>
      <c r="B30" s="56"/>
      <c r="C30" s="515"/>
      <c r="D30" s="19">
        <v>48</v>
      </c>
      <c r="E30" s="20" t="s">
        <v>65</v>
      </c>
      <c r="F30" s="520" t="s">
        <v>52</v>
      </c>
      <c r="G30" s="521"/>
      <c r="H30" s="521"/>
      <c r="I30" s="521"/>
      <c r="J30" s="522"/>
      <c r="K30" s="522"/>
      <c r="L30" s="69"/>
      <c r="M30" s="69"/>
      <c r="N30" s="503"/>
      <c r="O30" s="25">
        <v>47</v>
      </c>
      <c r="P30" s="26" t="s">
        <v>68</v>
      </c>
      <c r="Q30" s="508" t="s">
        <v>238</v>
      </c>
      <c r="R30" s="509"/>
      <c r="S30" s="509"/>
      <c r="T30" s="509"/>
      <c r="U30" s="510"/>
      <c r="V30" s="510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</row>
    <row r="31" spans="1:37" ht="23.25" customHeight="1" thickBot="1">
      <c r="A31" s="56"/>
      <c r="B31" s="56"/>
      <c r="C31" s="516"/>
      <c r="D31" s="21">
        <v>64</v>
      </c>
      <c r="E31" s="22" t="s">
        <v>66</v>
      </c>
      <c r="F31" s="523" t="s">
        <v>63</v>
      </c>
      <c r="G31" s="524"/>
      <c r="H31" s="524"/>
      <c r="I31" s="524"/>
      <c r="J31" s="524"/>
      <c r="K31" s="525"/>
      <c r="L31" s="69"/>
      <c r="M31" s="69"/>
      <c r="N31" s="504"/>
      <c r="O31" s="27">
        <v>63</v>
      </c>
      <c r="P31" s="28" t="s">
        <v>69</v>
      </c>
      <c r="Q31" s="511" t="s">
        <v>62</v>
      </c>
      <c r="R31" s="512"/>
      <c r="S31" s="512"/>
      <c r="T31" s="512"/>
      <c r="U31" s="512"/>
      <c r="V31" s="513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</row>
    <row r="32" spans="1:37" ht="23.25" customHeight="1">
      <c r="A32" s="56"/>
      <c r="B32" s="56"/>
      <c r="C32" s="514" t="s">
        <v>2</v>
      </c>
      <c r="D32" s="17">
        <v>19</v>
      </c>
      <c r="E32" s="18" t="s">
        <v>70</v>
      </c>
      <c r="F32" s="517" t="s">
        <v>223</v>
      </c>
      <c r="G32" s="518"/>
      <c r="H32" s="518"/>
      <c r="I32" s="518"/>
      <c r="J32" s="518"/>
      <c r="K32" s="519"/>
      <c r="L32" s="69"/>
      <c r="M32" s="69"/>
      <c r="N32" s="502" t="s">
        <v>3</v>
      </c>
      <c r="O32" s="23">
        <v>20</v>
      </c>
      <c r="P32" s="24" t="s">
        <v>75</v>
      </c>
      <c r="Q32" s="505" t="s">
        <v>224</v>
      </c>
      <c r="R32" s="506"/>
      <c r="S32" s="506"/>
      <c r="T32" s="506"/>
      <c r="U32" s="506"/>
      <c r="V32" s="507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</row>
    <row r="33" spans="1:37" ht="23.25" customHeight="1">
      <c r="A33" s="56"/>
      <c r="B33" s="56"/>
      <c r="C33" s="515"/>
      <c r="D33" s="19">
        <v>46</v>
      </c>
      <c r="E33" s="20" t="s">
        <v>71</v>
      </c>
      <c r="F33" s="520" t="s">
        <v>51</v>
      </c>
      <c r="G33" s="521"/>
      <c r="H33" s="521"/>
      <c r="I33" s="521"/>
      <c r="J33" s="522"/>
      <c r="K33" s="522"/>
      <c r="L33" s="69"/>
      <c r="M33" s="69"/>
      <c r="N33" s="503"/>
      <c r="O33" s="25">
        <v>45</v>
      </c>
      <c r="P33" s="26" t="s">
        <v>76</v>
      </c>
      <c r="Q33" s="508" t="s">
        <v>50</v>
      </c>
      <c r="R33" s="509"/>
      <c r="S33" s="509"/>
      <c r="T33" s="509"/>
      <c r="U33" s="510"/>
      <c r="V33" s="510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</row>
    <row r="34" spans="1:37" ht="23.25" customHeight="1" thickBot="1">
      <c r="A34" s="56"/>
      <c r="B34" s="56"/>
      <c r="C34" s="516"/>
      <c r="D34" s="21">
        <v>62</v>
      </c>
      <c r="E34" s="22" t="s">
        <v>73</v>
      </c>
      <c r="F34" s="523" t="s">
        <v>61</v>
      </c>
      <c r="G34" s="524"/>
      <c r="H34" s="524"/>
      <c r="I34" s="524"/>
      <c r="J34" s="524"/>
      <c r="K34" s="525"/>
      <c r="L34" s="69"/>
      <c r="M34" s="69"/>
      <c r="N34" s="504"/>
      <c r="O34" s="27">
        <v>61</v>
      </c>
      <c r="P34" s="28" t="s">
        <v>77</v>
      </c>
      <c r="Q34" s="511" t="s">
        <v>243</v>
      </c>
      <c r="R34" s="512"/>
      <c r="S34" s="512"/>
      <c r="T34" s="512"/>
      <c r="U34" s="512"/>
      <c r="V34" s="513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</row>
    <row r="35" spans="1:37" ht="23.25" customHeight="1">
      <c r="A35" s="56"/>
      <c r="B35" s="56"/>
      <c r="C35" s="514" t="s">
        <v>5</v>
      </c>
      <c r="D35" s="17">
        <v>22</v>
      </c>
      <c r="E35" s="18" t="s">
        <v>81</v>
      </c>
      <c r="F35" s="517" t="s">
        <v>226</v>
      </c>
      <c r="G35" s="518"/>
      <c r="H35" s="518"/>
      <c r="I35" s="518"/>
      <c r="J35" s="518"/>
      <c r="K35" s="519"/>
      <c r="L35" s="69"/>
      <c r="M35" s="69"/>
      <c r="N35" s="502" t="s">
        <v>4</v>
      </c>
      <c r="O35" s="23">
        <v>21</v>
      </c>
      <c r="P35" s="24" t="s">
        <v>78</v>
      </c>
      <c r="Q35" s="505" t="s">
        <v>225</v>
      </c>
      <c r="R35" s="506"/>
      <c r="S35" s="506"/>
      <c r="T35" s="506"/>
      <c r="U35" s="506"/>
      <c r="V35" s="507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</row>
    <row r="36" spans="1:37" ht="23.25" customHeight="1">
      <c r="A36" s="56"/>
      <c r="B36" s="56"/>
      <c r="C36" s="515"/>
      <c r="D36" s="19">
        <v>43</v>
      </c>
      <c r="E36" s="20" t="s">
        <v>82</v>
      </c>
      <c r="F36" s="520" t="s">
        <v>237</v>
      </c>
      <c r="G36" s="521"/>
      <c r="H36" s="521"/>
      <c r="I36" s="521"/>
      <c r="J36" s="522"/>
      <c r="K36" s="522"/>
      <c r="L36" s="69"/>
      <c r="M36" s="69"/>
      <c r="N36" s="503"/>
      <c r="O36" s="25">
        <v>44</v>
      </c>
      <c r="P36" s="26" t="s">
        <v>79</v>
      </c>
      <c r="Q36" s="508" t="s">
        <v>49</v>
      </c>
      <c r="R36" s="509"/>
      <c r="S36" s="509"/>
      <c r="T36" s="509"/>
      <c r="U36" s="510"/>
      <c r="V36" s="510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</row>
    <row r="37" spans="1:37" ht="23.25" customHeight="1" thickBot="1">
      <c r="A37" s="56"/>
      <c r="B37" s="56"/>
      <c r="C37" s="516"/>
      <c r="D37" s="21">
        <v>59</v>
      </c>
      <c r="E37" s="22" t="s">
        <v>83</v>
      </c>
      <c r="F37" s="523" t="s">
        <v>241</v>
      </c>
      <c r="G37" s="524"/>
      <c r="H37" s="524"/>
      <c r="I37" s="524"/>
      <c r="J37" s="524"/>
      <c r="K37" s="525"/>
      <c r="L37" s="56"/>
      <c r="M37" s="56"/>
      <c r="N37" s="504"/>
      <c r="O37" s="27">
        <v>60</v>
      </c>
      <c r="P37" s="28" t="s">
        <v>80</v>
      </c>
      <c r="Q37" s="511" t="s">
        <v>242</v>
      </c>
      <c r="R37" s="512"/>
      <c r="S37" s="512"/>
      <c r="T37" s="512"/>
      <c r="U37" s="512"/>
      <c r="V37" s="513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</row>
    <row r="38" spans="1:37" ht="23.25" customHeight="1">
      <c r="A38" s="56"/>
      <c r="B38" s="56"/>
      <c r="C38" s="514" t="s">
        <v>7</v>
      </c>
      <c r="D38" s="17">
        <v>24</v>
      </c>
      <c r="E38" s="18" t="s">
        <v>87</v>
      </c>
      <c r="F38" s="517" t="s">
        <v>227</v>
      </c>
      <c r="G38" s="518"/>
      <c r="H38" s="518"/>
      <c r="I38" s="518"/>
      <c r="J38" s="518"/>
      <c r="K38" s="519"/>
      <c r="L38" s="56"/>
      <c r="M38" s="56"/>
      <c r="N38" s="502" t="s">
        <v>6</v>
      </c>
      <c r="O38" s="23">
        <v>23</v>
      </c>
      <c r="P38" s="24" t="s">
        <v>84</v>
      </c>
      <c r="Q38" s="505" t="s">
        <v>39</v>
      </c>
      <c r="R38" s="506"/>
      <c r="S38" s="506"/>
      <c r="T38" s="506"/>
      <c r="U38" s="506"/>
      <c r="V38" s="507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</row>
    <row r="39" spans="1:37" ht="23.25" customHeight="1">
      <c r="A39" s="56"/>
      <c r="B39" s="56"/>
      <c r="C39" s="515"/>
      <c r="D39" s="19">
        <v>41</v>
      </c>
      <c r="E39" s="20" t="s">
        <v>88</v>
      </c>
      <c r="F39" s="520" t="s">
        <v>235</v>
      </c>
      <c r="G39" s="521"/>
      <c r="H39" s="521"/>
      <c r="I39" s="521"/>
      <c r="J39" s="522"/>
      <c r="K39" s="522"/>
      <c r="L39" s="56"/>
      <c r="M39" s="56"/>
      <c r="N39" s="503"/>
      <c r="O39" s="25">
        <v>42</v>
      </c>
      <c r="P39" s="26" t="s">
        <v>85</v>
      </c>
      <c r="Q39" s="508" t="s">
        <v>236</v>
      </c>
      <c r="R39" s="509"/>
      <c r="S39" s="509"/>
      <c r="T39" s="509"/>
      <c r="U39" s="510"/>
      <c r="V39" s="510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</row>
    <row r="40" spans="1:37" ht="23.25" customHeight="1" thickBot="1">
      <c r="A40" s="56"/>
      <c r="B40" s="56"/>
      <c r="C40" s="516"/>
      <c r="D40" s="21">
        <v>57</v>
      </c>
      <c r="E40" s="22" t="s">
        <v>89</v>
      </c>
      <c r="F40" s="523" t="s">
        <v>239</v>
      </c>
      <c r="G40" s="524"/>
      <c r="H40" s="524"/>
      <c r="I40" s="524"/>
      <c r="J40" s="524"/>
      <c r="K40" s="525"/>
      <c r="L40" s="56"/>
      <c r="M40" s="56"/>
      <c r="N40" s="504"/>
      <c r="O40" s="27">
        <v>58</v>
      </c>
      <c r="P40" s="28" t="s">
        <v>86</v>
      </c>
      <c r="Q40" s="511" t="s">
        <v>240</v>
      </c>
      <c r="R40" s="512"/>
      <c r="S40" s="512"/>
      <c r="T40" s="512"/>
      <c r="U40" s="512"/>
      <c r="V40" s="513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</row>
    <row r="41" spans="1:37" ht="23.25" customHeight="1">
      <c r="A41" s="56"/>
      <c r="B41" s="56"/>
      <c r="C41" s="514" t="s">
        <v>9</v>
      </c>
      <c r="D41" s="17">
        <v>26</v>
      </c>
      <c r="E41" s="18" t="s">
        <v>93</v>
      </c>
      <c r="F41" s="517" t="s">
        <v>41</v>
      </c>
      <c r="G41" s="518"/>
      <c r="H41" s="518"/>
      <c r="I41" s="518"/>
      <c r="J41" s="518"/>
      <c r="K41" s="519"/>
      <c r="L41" s="56"/>
      <c r="M41" s="56"/>
      <c r="N41" s="502" t="s">
        <v>8</v>
      </c>
      <c r="O41" s="23">
        <v>25</v>
      </c>
      <c r="P41" s="24" t="s">
        <v>90</v>
      </c>
      <c r="Q41" s="505" t="s">
        <v>40</v>
      </c>
      <c r="R41" s="506"/>
      <c r="S41" s="506"/>
      <c r="T41" s="506"/>
      <c r="U41" s="506"/>
      <c r="V41" s="507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</row>
    <row r="42" spans="1:37" ht="23.25" customHeight="1">
      <c r="A42" s="56"/>
      <c r="B42" s="56"/>
      <c r="C42" s="515"/>
      <c r="D42" s="19">
        <v>39</v>
      </c>
      <c r="E42" s="20" t="s">
        <v>94</v>
      </c>
      <c r="F42" s="520" t="s">
        <v>48</v>
      </c>
      <c r="G42" s="521"/>
      <c r="H42" s="521"/>
      <c r="I42" s="521"/>
      <c r="J42" s="522"/>
      <c r="K42" s="522"/>
      <c r="L42" s="56"/>
      <c r="M42" s="56"/>
      <c r="N42" s="503"/>
      <c r="O42" s="25">
        <v>40</v>
      </c>
      <c r="P42" s="26" t="s">
        <v>91</v>
      </c>
      <c r="Q42" s="508" t="s">
        <v>234</v>
      </c>
      <c r="R42" s="509"/>
      <c r="S42" s="509"/>
      <c r="T42" s="509"/>
      <c r="U42" s="510"/>
      <c r="V42" s="510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</row>
    <row r="43" spans="1:37" ht="23.25" customHeight="1" thickBot="1">
      <c r="A43" s="56"/>
      <c r="B43" s="56"/>
      <c r="C43" s="516"/>
      <c r="D43" s="21">
        <v>55</v>
      </c>
      <c r="E43" s="22" t="s">
        <v>95</v>
      </c>
      <c r="F43" s="523" t="s">
        <v>59</v>
      </c>
      <c r="G43" s="524"/>
      <c r="H43" s="524"/>
      <c r="I43" s="524"/>
      <c r="J43" s="524"/>
      <c r="K43" s="525"/>
      <c r="L43" s="56"/>
      <c r="M43" s="56"/>
      <c r="N43" s="504"/>
      <c r="O43" s="27">
        <v>56</v>
      </c>
      <c r="P43" s="28" t="s">
        <v>92</v>
      </c>
      <c r="Q43" s="511" t="s">
        <v>60</v>
      </c>
      <c r="R43" s="512"/>
      <c r="S43" s="512"/>
      <c r="T43" s="512"/>
      <c r="U43" s="512"/>
      <c r="V43" s="513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</row>
    <row r="44" spans="1:37" ht="23.25" customHeight="1">
      <c r="A44" s="56"/>
      <c r="B44" s="56"/>
      <c r="C44" s="514" t="s">
        <v>11</v>
      </c>
      <c r="D44" s="17">
        <v>28</v>
      </c>
      <c r="E44" s="18" t="s">
        <v>99</v>
      </c>
      <c r="F44" s="517" t="s">
        <v>42</v>
      </c>
      <c r="G44" s="518"/>
      <c r="H44" s="518"/>
      <c r="I44" s="518"/>
      <c r="J44" s="518"/>
      <c r="K44" s="519"/>
      <c r="L44" s="56"/>
      <c r="M44" s="56"/>
      <c r="N44" s="502" t="s">
        <v>10</v>
      </c>
      <c r="O44" s="23">
        <v>27</v>
      </c>
      <c r="P44" s="24" t="s">
        <v>96</v>
      </c>
      <c r="Q44" s="505" t="s">
        <v>228</v>
      </c>
      <c r="R44" s="506"/>
      <c r="S44" s="506"/>
      <c r="T44" s="506"/>
      <c r="U44" s="506"/>
      <c r="V44" s="507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</row>
    <row r="45" spans="1:37" ht="23.25" customHeight="1">
      <c r="A45" s="56"/>
      <c r="B45" s="56"/>
      <c r="C45" s="515"/>
      <c r="D45" s="19">
        <v>37</v>
      </c>
      <c r="E45" s="20" t="s">
        <v>100</v>
      </c>
      <c r="F45" s="520" t="s">
        <v>232</v>
      </c>
      <c r="G45" s="521"/>
      <c r="H45" s="521"/>
      <c r="I45" s="521"/>
      <c r="J45" s="522"/>
      <c r="K45" s="522"/>
      <c r="L45" s="56"/>
      <c r="M45" s="56"/>
      <c r="N45" s="503"/>
      <c r="O45" s="25">
        <v>38</v>
      </c>
      <c r="P45" s="26" t="s">
        <v>97</v>
      </c>
      <c r="Q45" s="508" t="s">
        <v>233</v>
      </c>
      <c r="R45" s="509"/>
      <c r="S45" s="509"/>
      <c r="T45" s="509"/>
      <c r="U45" s="510"/>
      <c r="V45" s="510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</row>
    <row r="46" spans="1:37" ht="23.25" customHeight="1" thickBot="1">
      <c r="A46" s="56"/>
      <c r="B46" s="56"/>
      <c r="C46" s="516"/>
      <c r="D46" s="21">
        <v>53</v>
      </c>
      <c r="E46" s="22" t="s">
        <v>101</v>
      </c>
      <c r="F46" s="523" t="s">
        <v>57</v>
      </c>
      <c r="G46" s="524"/>
      <c r="H46" s="524"/>
      <c r="I46" s="524"/>
      <c r="J46" s="524"/>
      <c r="K46" s="525"/>
      <c r="L46" s="56"/>
      <c r="M46" s="56"/>
      <c r="N46" s="504"/>
      <c r="O46" s="27">
        <v>54</v>
      </c>
      <c r="P46" s="28" t="s">
        <v>98</v>
      </c>
      <c r="Q46" s="511" t="s">
        <v>58</v>
      </c>
      <c r="R46" s="512"/>
      <c r="S46" s="512"/>
      <c r="T46" s="512"/>
      <c r="U46" s="512"/>
      <c r="V46" s="513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</row>
    <row r="47" spans="1:37" ht="23.25" customHeight="1">
      <c r="A47" s="56"/>
      <c r="B47" s="56"/>
      <c r="C47" s="514" t="s">
        <v>13</v>
      </c>
      <c r="D47" s="17">
        <v>30</v>
      </c>
      <c r="E47" s="18" t="s">
        <v>105</v>
      </c>
      <c r="F47" s="517" t="s">
        <v>43</v>
      </c>
      <c r="G47" s="518"/>
      <c r="H47" s="518"/>
      <c r="I47" s="518"/>
      <c r="J47" s="518"/>
      <c r="K47" s="519"/>
      <c r="L47" s="56"/>
      <c r="M47" s="56"/>
      <c r="N47" s="502" t="s">
        <v>12</v>
      </c>
      <c r="O47" s="23">
        <v>29</v>
      </c>
      <c r="P47" s="24" t="s">
        <v>102</v>
      </c>
      <c r="Q47" s="505" t="s">
        <v>229</v>
      </c>
      <c r="R47" s="506"/>
      <c r="S47" s="506"/>
      <c r="T47" s="506"/>
      <c r="U47" s="506"/>
      <c r="V47" s="507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</row>
    <row r="48" spans="1:37" ht="23.25" customHeight="1">
      <c r="A48" s="56"/>
      <c r="B48" s="56"/>
      <c r="C48" s="515"/>
      <c r="D48" s="19">
        <v>35</v>
      </c>
      <c r="E48" s="20" t="s">
        <v>106</v>
      </c>
      <c r="F48" s="520" t="s">
        <v>231</v>
      </c>
      <c r="G48" s="521"/>
      <c r="H48" s="521"/>
      <c r="I48" s="521"/>
      <c r="J48" s="522"/>
      <c r="K48" s="522"/>
      <c r="L48" s="56"/>
      <c r="M48" s="56"/>
      <c r="N48" s="503"/>
      <c r="O48" s="25">
        <v>36</v>
      </c>
      <c r="P48" s="26" t="s">
        <v>103</v>
      </c>
      <c r="Q48" s="508" t="s">
        <v>47</v>
      </c>
      <c r="R48" s="509"/>
      <c r="S48" s="509"/>
      <c r="T48" s="509"/>
      <c r="U48" s="510"/>
      <c r="V48" s="510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</row>
    <row r="49" spans="1:37" ht="23.25" customHeight="1" thickBot="1">
      <c r="A49" s="56"/>
      <c r="B49" s="56"/>
      <c r="C49" s="516"/>
      <c r="D49" s="21">
        <v>51</v>
      </c>
      <c r="E49" s="22" t="s">
        <v>107</v>
      </c>
      <c r="F49" s="523" t="s">
        <v>55</v>
      </c>
      <c r="G49" s="524"/>
      <c r="H49" s="524"/>
      <c r="I49" s="524"/>
      <c r="J49" s="524"/>
      <c r="K49" s="525"/>
      <c r="L49" s="56"/>
      <c r="M49" s="56"/>
      <c r="N49" s="504"/>
      <c r="O49" s="27">
        <v>52</v>
      </c>
      <c r="P49" s="28" t="s">
        <v>104</v>
      </c>
      <c r="Q49" s="511" t="s">
        <v>56</v>
      </c>
      <c r="R49" s="512"/>
      <c r="S49" s="512"/>
      <c r="T49" s="512"/>
      <c r="U49" s="512"/>
      <c r="V49" s="513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</row>
    <row r="50" spans="1:37" ht="23.25" customHeight="1">
      <c r="A50" s="56"/>
      <c r="B50" s="56"/>
      <c r="C50" s="514" t="s">
        <v>15</v>
      </c>
      <c r="D50" s="17">
        <v>32</v>
      </c>
      <c r="E50" s="18" t="s">
        <v>111</v>
      </c>
      <c r="F50" s="517" t="s">
        <v>44</v>
      </c>
      <c r="G50" s="518"/>
      <c r="H50" s="518"/>
      <c r="I50" s="518"/>
      <c r="J50" s="518"/>
      <c r="K50" s="519"/>
      <c r="L50" s="56"/>
      <c r="M50" s="56"/>
      <c r="N50" s="502" t="s">
        <v>14</v>
      </c>
      <c r="O50" s="23">
        <v>31</v>
      </c>
      <c r="P50" s="24" t="s">
        <v>108</v>
      </c>
      <c r="Q50" s="505" t="s">
        <v>230</v>
      </c>
      <c r="R50" s="506"/>
      <c r="S50" s="506"/>
      <c r="T50" s="506"/>
      <c r="U50" s="506"/>
      <c r="V50" s="507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</row>
    <row r="51" spans="1:37" ht="23.25" customHeight="1">
      <c r="A51" s="56"/>
      <c r="B51" s="56"/>
      <c r="C51" s="515"/>
      <c r="D51" s="19">
        <v>33</v>
      </c>
      <c r="E51" s="20" t="s">
        <v>112</v>
      </c>
      <c r="F51" s="520" t="s">
        <v>45</v>
      </c>
      <c r="G51" s="521"/>
      <c r="H51" s="521"/>
      <c r="I51" s="521"/>
      <c r="J51" s="522"/>
      <c r="K51" s="522"/>
      <c r="L51" s="56"/>
      <c r="M51" s="56"/>
      <c r="N51" s="503"/>
      <c r="O51" s="25">
        <v>34</v>
      </c>
      <c r="P51" s="26" t="s">
        <v>109</v>
      </c>
      <c r="Q51" s="508" t="s">
        <v>46</v>
      </c>
      <c r="R51" s="509"/>
      <c r="S51" s="509"/>
      <c r="T51" s="509"/>
      <c r="U51" s="510"/>
      <c r="V51" s="510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</row>
    <row r="52" spans="1:37" ht="23.25" customHeight="1" thickBot="1">
      <c r="A52" s="56"/>
      <c r="B52" s="56"/>
      <c r="C52" s="516"/>
      <c r="D52" s="21">
        <v>49</v>
      </c>
      <c r="E52" s="22" t="s">
        <v>113</v>
      </c>
      <c r="F52" s="523" t="s">
        <v>53</v>
      </c>
      <c r="G52" s="524"/>
      <c r="H52" s="524"/>
      <c r="I52" s="524"/>
      <c r="J52" s="524"/>
      <c r="K52" s="525"/>
      <c r="L52" s="56"/>
      <c r="M52" s="56"/>
      <c r="N52" s="504"/>
      <c r="O52" s="27">
        <v>50</v>
      </c>
      <c r="P52" s="28" t="s">
        <v>110</v>
      </c>
      <c r="Q52" s="511" t="s">
        <v>54</v>
      </c>
      <c r="R52" s="512"/>
      <c r="S52" s="512"/>
      <c r="T52" s="512"/>
      <c r="U52" s="512"/>
      <c r="V52" s="513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</row>
    <row r="53" spans="1:37" ht="12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</row>
    <row r="54" spans="1:37" ht="12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</row>
    <row r="55" spans="1:37" ht="12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</row>
    <row r="56" spans="1:37" ht="12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</row>
    <row r="57" spans="1:37" ht="12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</row>
    <row r="58" spans="1:37" ht="12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</row>
    <row r="59" spans="1:37" ht="12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</row>
    <row r="60" spans="1:37" ht="12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</row>
    <row r="61" spans="1:37" ht="12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</row>
    <row r="62" spans="1:37" ht="12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</row>
    <row r="63" spans="1:37" ht="12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</row>
    <row r="64" spans="1:37" ht="12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</row>
    <row r="65" spans="1:37" ht="12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</row>
    <row r="66" spans="1:37" ht="12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</row>
    <row r="67" spans="1:37" ht="12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</row>
    <row r="68" spans="1:37" ht="12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</row>
    <row r="69" spans="1:37" ht="12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</row>
    <row r="70" spans="1:37" ht="12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</row>
    <row r="71" spans="1:37" ht="12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</row>
    <row r="72" spans="1:37" ht="12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</row>
    <row r="73" spans="1:37" ht="12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</row>
    <row r="74" spans="1:37" ht="12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</row>
    <row r="75" spans="1:37" ht="12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</row>
    <row r="76" spans="1:37" ht="12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</row>
    <row r="77" spans="1:37" ht="12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</row>
    <row r="78" spans="1:37" ht="12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</row>
    <row r="79" spans="1:37" ht="12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</row>
    <row r="80" spans="1:37" ht="12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</row>
    <row r="81" spans="1:37" ht="12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</row>
    <row r="82" spans="1:37" ht="12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</row>
    <row r="83" spans="1:37" ht="12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</row>
    <row r="84" spans="1:37" ht="12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</row>
    <row r="85" spans="1:37" ht="12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</row>
    <row r="86" spans="1:37" ht="12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</row>
    <row r="87" spans="1:37" ht="12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</row>
    <row r="88" spans="1:37" ht="12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</row>
    <row r="89" spans="1:37" ht="12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</row>
    <row r="90" spans="1:37" ht="12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</row>
    <row r="91" spans="1:37" ht="12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</row>
    <row r="92" spans="1:37" ht="12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</row>
    <row r="93" spans="1:37" ht="12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</row>
    <row r="94" spans="1:37" ht="12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</row>
    <row r="95" spans="1:37" ht="12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</row>
    <row r="96" spans="1:37" ht="12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</row>
    <row r="97" spans="1:37" ht="12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</row>
    <row r="98" spans="1:37" ht="12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</row>
    <row r="99" spans="1:37" ht="12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</row>
    <row r="100" spans="1:37" ht="12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</row>
  </sheetData>
  <sheetProtection/>
  <mergeCells count="145">
    <mergeCell ref="N27:V27"/>
    <mergeCell ref="E2:T2"/>
    <mergeCell ref="G3:R3"/>
    <mergeCell ref="N23:W23"/>
    <mergeCell ref="P21:W21"/>
    <mergeCell ref="P22:W22"/>
    <mergeCell ref="P17:Q17"/>
    <mergeCell ref="C27:K27"/>
    <mergeCell ref="T18:U18"/>
    <mergeCell ref="T15:U15"/>
    <mergeCell ref="N47:N49"/>
    <mergeCell ref="Q47:V47"/>
    <mergeCell ref="Q48:V48"/>
    <mergeCell ref="Q49:V49"/>
    <mergeCell ref="N50:N52"/>
    <mergeCell ref="Q50:V50"/>
    <mergeCell ref="Q51:V51"/>
    <mergeCell ref="Q52:V52"/>
    <mergeCell ref="N41:N43"/>
    <mergeCell ref="Q41:V41"/>
    <mergeCell ref="Q42:V42"/>
    <mergeCell ref="Q43:V43"/>
    <mergeCell ref="N44:N46"/>
    <mergeCell ref="Q44:V44"/>
    <mergeCell ref="Q45:V45"/>
    <mergeCell ref="Q46:V46"/>
    <mergeCell ref="Q36:V36"/>
    <mergeCell ref="Q37:V37"/>
    <mergeCell ref="N38:N40"/>
    <mergeCell ref="Q38:V38"/>
    <mergeCell ref="Q39:V39"/>
    <mergeCell ref="Q40:V40"/>
    <mergeCell ref="C50:C52"/>
    <mergeCell ref="F50:K50"/>
    <mergeCell ref="F51:K51"/>
    <mergeCell ref="F52:K52"/>
    <mergeCell ref="N32:N34"/>
    <mergeCell ref="Q32:V32"/>
    <mergeCell ref="Q33:V33"/>
    <mergeCell ref="Q34:V34"/>
    <mergeCell ref="N35:N37"/>
    <mergeCell ref="Q35:V35"/>
    <mergeCell ref="C44:C46"/>
    <mergeCell ref="F44:K44"/>
    <mergeCell ref="F45:K45"/>
    <mergeCell ref="F46:K46"/>
    <mergeCell ref="C47:C49"/>
    <mergeCell ref="F47:K47"/>
    <mergeCell ref="F48:K48"/>
    <mergeCell ref="F49:K49"/>
    <mergeCell ref="C38:C40"/>
    <mergeCell ref="F38:K38"/>
    <mergeCell ref="F39:K39"/>
    <mergeCell ref="F40:K40"/>
    <mergeCell ref="C41:C43"/>
    <mergeCell ref="F41:K41"/>
    <mergeCell ref="F42:K42"/>
    <mergeCell ref="F43:K43"/>
    <mergeCell ref="C32:C34"/>
    <mergeCell ref="F32:K32"/>
    <mergeCell ref="F33:K33"/>
    <mergeCell ref="F34:K34"/>
    <mergeCell ref="C35:C37"/>
    <mergeCell ref="F35:K35"/>
    <mergeCell ref="F36:K36"/>
    <mergeCell ref="F37:K37"/>
    <mergeCell ref="N29:N31"/>
    <mergeCell ref="Q29:V29"/>
    <mergeCell ref="Q30:V30"/>
    <mergeCell ref="Q31:V31"/>
    <mergeCell ref="C29:C31"/>
    <mergeCell ref="F29:K29"/>
    <mergeCell ref="F30:K30"/>
    <mergeCell ref="F31:K31"/>
    <mergeCell ref="V15:W15"/>
    <mergeCell ref="V18:W18"/>
    <mergeCell ref="V16:W16"/>
    <mergeCell ref="T17:U17"/>
    <mergeCell ref="V17:W17"/>
    <mergeCell ref="T16:U16"/>
    <mergeCell ref="R15:S15"/>
    <mergeCell ref="R16:S16"/>
    <mergeCell ref="R18:S18"/>
    <mergeCell ref="N13:O13"/>
    <mergeCell ref="N16:O16"/>
    <mergeCell ref="P16:Q16"/>
    <mergeCell ref="N18:O18"/>
    <mergeCell ref="P18:Q18"/>
    <mergeCell ref="R17:S17"/>
    <mergeCell ref="N17:O17"/>
    <mergeCell ref="N10:W10"/>
    <mergeCell ref="P11:W11"/>
    <mergeCell ref="V13:W13"/>
    <mergeCell ref="N14:O14"/>
    <mergeCell ref="P14:Q14"/>
    <mergeCell ref="R14:S14"/>
    <mergeCell ref="T14:U14"/>
    <mergeCell ref="V14:W14"/>
    <mergeCell ref="R13:S13"/>
    <mergeCell ref="T13:U13"/>
    <mergeCell ref="B18:C18"/>
    <mergeCell ref="D18:E18"/>
    <mergeCell ref="T12:U12"/>
    <mergeCell ref="V12:W12"/>
    <mergeCell ref="N12:O12"/>
    <mergeCell ref="P12:Q12"/>
    <mergeCell ref="R12:S12"/>
    <mergeCell ref="P13:Q13"/>
    <mergeCell ref="N15:O15"/>
    <mergeCell ref="P15:Q15"/>
    <mergeCell ref="H18:I18"/>
    <mergeCell ref="J18:K18"/>
    <mergeCell ref="F16:G16"/>
    <mergeCell ref="F18:G18"/>
    <mergeCell ref="J16:K16"/>
    <mergeCell ref="F17:G17"/>
    <mergeCell ref="H17:I17"/>
    <mergeCell ref="B14:C14"/>
    <mergeCell ref="J17:K17"/>
    <mergeCell ref="H16:I16"/>
    <mergeCell ref="B16:C16"/>
    <mergeCell ref="D16:E16"/>
    <mergeCell ref="B17:C17"/>
    <mergeCell ref="D17:E17"/>
    <mergeCell ref="B15:C15"/>
    <mergeCell ref="D15:E15"/>
    <mergeCell ref="D14:E14"/>
    <mergeCell ref="F14:G14"/>
    <mergeCell ref="H14:I14"/>
    <mergeCell ref="J15:K15"/>
    <mergeCell ref="F13:G13"/>
    <mergeCell ref="H13:I13"/>
    <mergeCell ref="J14:K14"/>
    <mergeCell ref="F15:G15"/>
    <mergeCell ref="H15:I15"/>
    <mergeCell ref="B13:C13"/>
    <mergeCell ref="D13:E13"/>
    <mergeCell ref="B10:K10"/>
    <mergeCell ref="D11:K11"/>
    <mergeCell ref="B12:C12"/>
    <mergeCell ref="D12:E12"/>
    <mergeCell ref="F12:G12"/>
    <mergeCell ref="J12:K12"/>
    <mergeCell ref="H12:I12"/>
    <mergeCell ref="J13:K13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85"/>
  <rowBreaks count="1" manualBreakCount="1">
    <brk id="25" max="255" man="1"/>
  </rowBreaks>
  <colBreaks count="1" manualBreakCount="1">
    <brk id="2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00"/>
  <sheetViews>
    <sheetView zoomScale="90" zoomScaleNormal="90" workbookViewId="0" topLeftCell="A1">
      <selection activeCell="A1" sqref="A1"/>
    </sheetView>
  </sheetViews>
  <sheetFormatPr defaultColWidth="11.421875" defaultRowHeight="12.75"/>
  <cols>
    <col min="1" max="1" width="2.28125" style="0" customWidth="1"/>
    <col min="2" max="4" width="13.28125" style="0" customWidth="1"/>
    <col min="15" max="15" width="2.28125" style="0" customWidth="1"/>
  </cols>
  <sheetData>
    <row r="1" spans="1:37" ht="12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</row>
    <row r="2" spans="1:37" ht="37.5">
      <c r="A2" s="56"/>
      <c r="B2" s="56"/>
      <c r="C2" s="409" t="s">
        <v>173</v>
      </c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70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</row>
    <row r="3" spans="1:37" ht="53.25" customHeight="1">
      <c r="A3" s="56"/>
      <c r="B3" s="56"/>
      <c r="C3" s="56"/>
      <c r="D3" s="410" t="s">
        <v>183</v>
      </c>
      <c r="E3" s="538"/>
      <c r="F3" s="538"/>
      <c r="G3" s="538"/>
      <c r="H3" s="538"/>
      <c r="I3" s="538"/>
      <c r="J3" s="538"/>
      <c r="K3" s="538"/>
      <c r="L3" s="538"/>
      <c r="M3" s="71"/>
      <c r="N3" s="71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</row>
    <row r="4" spans="1:37" ht="12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</row>
    <row r="5" spans="1:37" ht="12.75" customHeight="1" thickBot="1">
      <c r="A5" s="56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</row>
    <row r="6" spans="1:37" ht="29.25" customHeight="1">
      <c r="A6" s="56"/>
      <c r="B6" s="546" t="s">
        <v>176</v>
      </c>
      <c r="C6" s="546"/>
      <c r="D6" s="547"/>
      <c r="E6" s="624" t="s">
        <v>74</v>
      </c>
      <c r="F6" s="625"/>
      <c r="G6" s="628" t="s">
        <v>72</v>
      </c>
      <c r="H6" s="629"/>
      <c r="I6" s="629"/>
      <c r="J6" s="629"/>
      <c r="K6" s="629"/>
      <c r="L6" s="629"/>
      <c r="M6" s="629"/>
      <c r="N6" s="630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</row>
    <row r="7" spans="1:37" ht="29.25" customHeight="1" thickBot="1">
      <c r="A7" s="56"/>
      <c r="B7" s="548"/>
      <c r="C7" s="548"/>
      <c r="D7" s="549"/>
      <c r="E7" s="626"/>
      <c r="F7" s="627"/>
      <c r="G7" s="631">
        <v>1</v>
      </c>
      <c r="H7" s="632"/>
      <c r="I7" s="633">
        <v>2</v>
      </c>
      <c r="J7" s="634"/>
      <c r="K7" s="633">
        <v>3</v>
      </c>
      <c r="L7" s="634"/>
      <c r="M7" s="632">
        <v>4</v>
      </c>
      <c r="N7" s="635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</row>
    <row r="8" spans="1:37" ht="33" customHeight="1" thickTop="1">
      <c r="A8" s="56"/>
      <c r="B8" s="550" t="s">
        <v>177</v>
      </c>
      <c r="C8" s="551"/>
      <c r="D8" s="552"/>
      <c r="E8" s="604">
        <v>0.3958333333333333</v>
      </c>
      <c r="F8" s="605"/>
      <c r="G8" s="606" t="s">
        <v>184</v>
      </c>
      <c r="H8" s="607"/>
      <c r="I8" s="592" t="s">
        <v>190</v>
      </c>
      <c r="J8" s="593"/>
      <c r="K8" s="592" t="s">
        <v>196</v>
      </c>
      <c r="L8" s="593"/>
      <c r="M8" s="594" t="s">
        <v>202</v>
      </c>
      <c r="N8" s="595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</row>
    <row r="9" spans="1:37" ht="33" customHeight="1">
      <c r="A9" s="56"/>
      <c r="B9" s="553"/>
      <c r="C9" s="554"/>
      <c r="D9" s="555"/>
      <c r="E9" s="618">
        <v>0.4791666666666667</v>
      </c>
      <c r="F9" s="619"/>
      <c r="G9" s="622" t="s">
        <v>185</v>
      </c>
      <c r="H9" s="621"/>
      <c r="I9" s="608" t="s">
        <v>191</v>
      </c>
      <c r="J9" s="609"/>
      <c r="K9" s="623" t="s">
        <v>197</v>
      </c>
      <c r="L9" s="609"/>
      <c r="M9" s="610" t="s">
        <v>203</v>
      </c>
      <c r="N9" s="611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</row>
    <row r="10" spans="1:37" ht="33" customHeight="1">
      <c r="A10" s="56"/>
      <c r="B10" s="553"/>
      <c r="C10" s="554"/>
      <c r="D10" s="555"/>
      <c r="E10" s="618">
        <v>0.5625</v>
      </c>
      <c r="F10" s="619"/>
      <c r="G10" s="620" t="s">
        <v>186</v>
      </c>
      <c r="H10" s="621"/>
      <c r="I10" s="608" t="s">
        <v>192</v>
      </c>
      <c r="J10" s="609"/>
      <c r="K10" s="608" t="s">
        <v>198</v>
      </c>
      <c r="L10" s="609"/>
      <c r="M10" s="610" t="s">
        <v>204</v>
      </c>
      <c r="N10" s="611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</row>
    <row r="11" spans="1:37" ht="33" customHeight="1" thickBot="1">
      <c r="A11" s="56"/>
      <c r="B11" s="556"/>
      <c r="C11" s="557"/>
      <c r="D11" s="558"/>
      <c r="E11" s="596">
        <v>0.6458333333333334</v>
      </c>
      <c r="F11" s="597"/>
      <c r="G11" s="612" t="s">
        <v>187</v>
      </c>
      <c r="H11" s="613"/>
      <c r="I11" s="614" t="s">
        <v>193</v>
      </c>
      <c r="J11" s="615"/>
      <c r="K11" s="614" t="s">
        <v>199</v>
      </c>
      <c r="L11" s="615"/>
      <c r="M11" s="616" t="s">
        <v>205</v>
      </c>
      <c r="N11" s="617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</row>
    <row r="12" spans="1:37" ht="33" customHeight="1" thickTop="1">
      <c r="A12" s="56"/>
      <c r="B12" s="550" t="s">
        <v>178</v>
      </c>
      <c r="C12" s="551"/>
      <c r="D12" s="552"/>
      <c r="E12" s="604">
        <v>0.75</v>
      </c>
      <c r="F12" s="605"/>
      <c r="G12" s="606" t="s">
        <v>188</v>
      </c>
      <c r="H12" s="607"/>
      <c r="I12" s="592" t="s">
        <v>194</v>
      </c>
      <c r="J12" s="593"/>
      <c r="K12" s="592" t="s">
        <v>200</v>
      </c>
      <c r="L12" s="593"/>
      <c r="M12" s="594" t="s">
        <v>206</v>
      </c>
      <c r="N12" s="595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</row>
    <row r="13" spans="1:37" ht="33" customHeight="1" thickBot="1">
      <c r="A13" s="56"/>
      <c r="B13" s="556"/>
      <c r="C13" s="557"/>
      <c r="D13" s="558"/>
      <c r="E13" s="596">
        <v>0.8333333333333334</v>
      </c>
      <c r="F13" s="597"/>
      <c r="G13" s="598" t="s">
        <v>189</v>
      </c>
      <c r="H13" s="599"/>
      <c r="I13" s="600" t="s">
        <v>195</v>
      </c>
      <c r="J13" s="601"/>
      <c r="K13" s="600" t="s">
        <v>201</v>
      </c>
      <c r="L13" s="601"/>
      <c r="M13" s="602" t="s">
        <v>207</v>
      </c>
      <c r="N13" s="603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</row>
    <row r="14" spans="1:37" ht="12.75" customHeight="1" thickTop="1">
      <c r="A14" s="56"/>
      <c r="B14" s="73"/>
      <c r="C14" s="73"/>
      <c r="D14" s="73"/>
      <c r="E14" s="73"/>
      <c r="F14" s="73"/>
      <c r="G14" s="74"/>
      <c r="H14" s="74"/>
      <c r="I14" s="74"/>
      <c r="J14" s="74"/>
      <c r="K14" s="74"/>
      <c r="L14" s="74"/>
      <c r="M14" s="74"/>
      <c r="N14" s="74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</row>
    <row r="15" spans="1:37" ht="12.75" customHeight="1" thickBot="1">
      <c r="A15" s="56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</row>
    <row r="16" spans="1:37" s="55" customFormat="1" ht="29.25" customHeight="1" thickTop="1">
      <c r="A16" s="72"/>
      <c r="B16" s="546" t="s">
        <v>215</v>
      </c>
      <c r="C16" s="546"/>
      <c r="D16" s="580"/>
      <c r="E16" s="582" t="s">
        <v>74</v>
      </c>
      <c r="F16" s="583"/>
      <c r="G16" s="584" t="s">
        <v>72</v>
      </c>
      <c r="H16" s="585"/>
      <c r="I16" s="585"/>
      <c r="J16" s="585"/>
      <c r="K16" s="585"/>
      <c r="L16" s="585"/>
      <c r="M16" s="585"/>
      <c r="N16" s="586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</row>
    <row r="17" spans="1:37" s="55" customFormat="1" ht="29.25" customHeight="1" thickBot="1">
      <c r="A17" s="72"/>
      <c r="B17" s="548"/>
      <c r="C17" s="548"/>
      <c r="D17" s="581"/>
      <c r="E17" s="573"/>
      <c r="F17" s="574"/>
      <c r="G17" s="587">
        <v>1</v>
      </c>
      <c r="H17" s="588"/>
      <c r="I17" s="589">
        <v>2</v>
      </c>
      <c r="J17" s="590"/>
      <c r="K17" s="589">
        <v>3</v>
      </c>
      <c r="L17" s="590"/>
      <c r="M17" s="588">
        <v>4</v>
      </c>
      <c r="N17" s="591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</row>
    <row r="18" spans="1:37" s="55" customFormat="1" ht="33" customHeight="1" thickBot="1" thickTop="1">
      <c r="A18" s="72"/>
      <c r="B18" s="572" t="s">
        <v>179</v>
      </c>
      <c r="C18" s="573"/>
      <c r="D18" s="574"/>
      <c r="E18" s="575">
        <v>0.4166666666666667</v>
      </c>
      <c r="F18" s="576"/>
      <c r="G18" s="577" t="s">
        <v>208</v>
      </c>
      <c r="H18" s="578"/>
      <c r="I18" s="570" t="s">
        <v>210</v>
      </c>
      <c r="J18" s="579"/>
      <c r="K18" s="559" t="s">
        <v>212</v>
      </c>
      <c r="L18" s="560"/>
      <c r="M18" s="561" t="s">
        <v>213</v>
      </c>
      <c r="N18" s="56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</row>
    <row r="19" spans="1:37" s="55" customFormat="1" ht="33" customHeight="1" thickBot="1" thickTop="1">
      <c r="A19" s="72"/>
      <c r="B19" s="563" t="s">
        <v>180</v>
      </c>
      <c r="C19" s="564"/>
      <c r="D19" s="565"/>
      <c r="E19" s="566">
        <v>0.5</v>
      </c>
      <c r="F19" s="567"/>
      <c r="G19" s="568" t="s">
        <v>209</v>
      </c>
      <c r="H19" s="569"/>
      <c r="I19" s="570" t="s">
        <v>214</v>
      </c>
      <c r="J19" s="571"/>
      <c r="K19" s="75"/>
      <c r="L19" s="76"/>
      <c r="M19" s="76"/>
      <c r="N19" s="76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</row>
    <row r="20" spans="1:37" s="55" customFormat="1" ht="33" customHeight="1" thickBot="1" thickTop="1">
      <c r="A20" s="72"/>
      <c r="B20" s="539" t="s">
        <v>181</v>
      </c>
      <c r="C20" s="540"/>
      <c r="D20" s="541"/>
      <c r="E20" s="542">
        <v>0.6666666666666666</v>
      </c>
      <c r="F20" s="543"/>
      <c r="G20" s="75"/>
      <c r="H20" s="79"/>
      <c r="I20" s="544" t="s">
        <v>211</v>
      </c>
      <c r="J20" s="545"/>
      <c r="K20" s="77"/>
      <c r="L20" s="78"/>
      <c r="M20" s="78"/>
      <c r="N20" s="78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</row>
    <row r="21" spans="1:37" ht="12.75" customHeight="1" thickTop="1">
      <c r="A21" s="56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</row>
    <row r="22" spans="1:37" ht="12.75" customHeight="1">
      <c r="A22" s="56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</row>
    <row r="23" spans="1:37" ht="25.5" customHeight="1">
      <c r="A23" s="56"/>
      <c r="B23" s="535" t="s">
        <v>248</v>
      </c>
      <c r="C23" s="536"/>
      <c r="D23" s="536"/>
      <c r="E23" s="536"/>
      <c r="F23" s="536"/>
      <c r="G23" s="536"/>
      <c r="H23" s="536"/>
      <c r="I23" s="536"/>
      <c r="J23" s="536"/>
      <c r="K23" s="536"/>
      <c r="L23" s="536"/>
      <c r="M23" s="536"/>
      <c r="N23" s="53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</row>
    <row r="24" spans="1:37" ht="25.5" customHeight="1">
      <c r="A24" s="56"/>
      <c r="B24" s="72"/>
      <c r="C24" s="56"/>
      <c r="D24" s="80"/>
      <c r="E24" s="80"/>
      <c r="F24" s="535" t="s">
        <v>182</v>
      </c>
      <c r="G24" s="535"/>
      <c r="H24" s="535"/>
      <c r="I24" s="535"/>
      <c r="J24" s="535"/>
      <c r="K24" s="80"/>
      <c r="L24" s="80"/>
      <c r="M24" s="80"/>
      <c r="N24" s="73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</row>
    <row r="25" spans="1:37" ht="12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</row>
    <row r="26" spans="1:37" ht="12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</row>
    <row r="27" spans="1:37" ht="12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</row>
    <row r="28" spans="1:37" ht="12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</row>
    <row r="29" spans="1:37" ht="12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</row>
    <row r="30" spans="1:37" ht="12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</row>
    <row r="31" spans="1:37" ht="12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</row>
    <row r="32" spans="1:37" ht="12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</row>
    <row r="33" spans="1:37" ht="12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</row>
    <row r="34" spans="1:37" ht="12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</row>
    <row r="35" spans="1:37" ht="12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</row>
    <row r="36" spans="1:37" ht="12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</row>
    <row r="37" spans="1:37" ht="12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</row>
    <row r="38" spans="1:37" ht="12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</row>
    <row r="39" spans="1:37" ht="12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</row>
    <row r="40" spans="1:37" ht="12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</row>
    <row r="41" spans="1:37" ht="12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</row>
    <row r="42" spans="1:37" ht="12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</row>
    <row r="43" spans="1:37" ht="12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</row>
    <row r="44" spans="1:37" ht="12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</row>
    <row r="45" spans="1:37" ht="12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</row>
    <row r="46" spans="1:37" ht="12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</row>
    <row r="47" spans="1:37" ht="12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</row>
    <row r="48" spans="1:37" ht="12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</row>
    <row r="49" spans="1:37" ht="12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</row>
    <row r="50" spans="1:37" ht="12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</row>
    <row r="51" spans="1:37" ht="12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</row>
    <row r="52" spans="1:37" ht="12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</row>
    <row r="53" spans="1:37" ht="12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</row>
    <row r="54" spans="1:37" ht="12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</row>
    <row r="55" spans="1:37" ht="12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</row>
    <row r="56" spans="1:37" ht="12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</row>
    <row r="57" spans="1:37" ht="12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</row>
    <row r="58" spans="1:37" ht="12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</row>
    <row r="59" spans="1:37" ht="12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</row>
    <row r="60" spans="1:37" ht="12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</row>
    <row r="61" spans="1:37" ht="12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</row>
    <row r="62" spans="1:37" ht="12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</row>
    <row r="63" spans="1:37" ht="12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</row>
    <row r="64" spans="1:37" ht="12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</row>
    <row r="65" spans="1:37" ht="12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</row>
    <row r="66" spans="1:37" ht="12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</row>
    <row r="67" spans="1:37" ht="12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</row>
    <row r="68" spans="1:37" ht="12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</row>
    <row r="69" spans="1:37" ht="12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</row>
    <row r="70" spans="1:37" ht="12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</row>
    <row r="71" spans="1:37" ht="12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</row>
    <row r="72" spans="1:37" ht="12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</row>
    <row r="73" spans="1:37" ht="12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</row>
    <row r="74" spans="1:37" ht="12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</row>
    <row r="75" spans="1:37" ht="12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</row>
    <row r="76" spans="1:37" ht="12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</row>
    <row r="77" spans="1:37" ht="12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</row>
    <row r="78" spans="1:37" ht="12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</row>
    <row r="79" spans="1:37" ht="12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</row>
    <row r="80" spans="1:37" ht="12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</row>
    <row r="81" spans="1:37" ht="12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</row>
    <row r="82" spans="1:37" ht="12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</row>
    <row r="83" spans="1:37" ht="12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</row>
    <row r="84" spans="1:37" ht="12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</row>
    <row r="85" spans="1:37" ht="12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</row>
    <row r="86" spans="1:37" ht="12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</row>
    <row r="87" spans="1:37" ht="12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</row>
    <row r="88" spans="1:37" ht="12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</row>
    <row r="89" spans="1:37" ht="12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</row>
    <row r="90" spans="1:37" ht="12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</row>
    <row r="91" spans="1:37" ht="12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</row>
    <row r="92" spans="1:37" ht="12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</row>
    <row r="93" spans="1:37" ht="12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</row>
    <row r="94" spans="1:37" ht="12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</row>
    <row r="95" spans="1:37" ht="12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</row>
    <row r="96" spans="1:37" ht="12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</row>
    <row r="97" spans="1:37" ht="12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</row>
    <row r="98" spans="1:37" ht="12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</row>
    <row r="99" spans="1:37" ht="12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</row>
    <row r="100" spans="1:37" ht="12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</row>
  </sheetData>
  <sheetProtection/>
  <mergeCells count="63">
    <mergeCell ref="E6:F7"/>
    <mergeCell ref="G6:N6"/>
    <mergeCell ref="G7:H7"/>
    <mergeCell ref="I7:J7"/>
    <mergeCell ref="K7:L7"/>
    <mergeCell ref="M7:N7"/>
    <mergeCell ref="I8:J8"/>
    <mergeCell ref="K8:L8"/>
    <mergeCell ref="M8:N8"/>
    <mergeCell ref="E9:F9"/>
    <mergeCell ref="G9:H9"/>
    <mergeCell ref="I9:J9"/>
    <mergeCell ref="K9:L9"/>
    <mergeCell ref="M9:N9"/>
    <mergeCell ref="E8:F8"/>
    <mergeCell ref="G8:H8"/>
    <mergeCell ref="I10:J10"/>
    <mergeCell ref="K10:L10"/>
    <mergeCell ref="M10:N10"/>
    <mergeCell ref="E11:F11"/>
    <mergeCell ref="G11:H11"/>
    <mergeCell ref="I11:J11"/>
    <mergeCell ref="K11:L11"/>
    <mergeCell ref="M11:N11"/>
    <mergeCell ref="E10:F10"/>
    <mergeCell ref="G10:H10"/>
    <mergeCell ref="I12:J12"/>
    <mergeCell ref="K12:L12"/>
    <mergeCell ref="M12:N12"/>
    <mergeCell ref="E13:F13"/>
    <mergeCell ref="G13:H13"/>
    <mergeCell ref="I13:J13"/>
    <mergeCell ref="K13:L13"/>
    <mergeCell ref="M13:N13"/>
    <mergeCell ref="E12:F12"/>
    <mergeCell ref="G12:H12"/>
    <mergeCell ref="B16:D17"/>
    <mergeCell ref="E16:F17"/>
    <mergeCell ref="G16:N16"/>
    <mergeCell ref="G17:H17"/>
    <mergeCell ref="I17:J17"/>
    <mergeCell ref="K17:L17"/>
    <mergeCell ref="M17:N17"/>
    <mergeCell ref="K18:L18"/>
    <mergeCell ref="M18:N18"/>
    <mergeCell ref="B19:D19"/>
    <mergeCell ref="E19:F19"/>
    <mergeCell ref="G19:H19"/>
    <mergeCell ref="I19:J19"/>
    <mergeCell ref="B18:D18"/>
    <mergeCell ref="E18:F18"/>
    <mergeCell ref="G18:H18"/>
    <mergeCell ref="I18:J18"/>
    <mergeCell ref="B23:N23"/>
    <mergeCell ref="F24:J24"/>
    <mergeCell ref="C2:M2"/>
    <mergeCell ref="D3:L3"/>
    <mergeCell ref="B20:D20"/>
    <mergeCell ref="E20:F20"/>
    <mergeCell ref="I20:J20"/>
    <mergeCell ref="B6:D7"/>
    <mergeCell ref="B8:D11"/>
    <mergeCell ref="B12:D13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8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K117"/>
  <sheetViews>
    <sheetView showGridLines="0" workbookViewId="0" topLeftCell="A1">
      <selection activeCell="A1" sqref="A1"/>
    </sheetView>
  </sheetViews>
  <sheetFormatPr defaultColWidth="11.57421875" defaultRowHeight="12.75"/>
  <cols>
    <col min="1" max="1" width="3.7109375" style="89" customWidth="1"/>
    <col min="2" max="2" width="3.7109375" style="179" customWidth="1"/>
    <col min="3" max="3" width="5.140625" style="89" customWidth="1"/>
    <col min="4" max="4" width="8.421875" style="89" customWidth="1"/>
    <col min="5" max="5" width="5.140625" style="89" customWidth="1"/>
    <col min="6" max="6" width="37.140625" style="89" customWidth="1"/>
    <col min="7" max="7" width="7.140625" style="89" customWidth="1"/>
    <col min="8" max="8" width="6.8515625" style="89" customWidth="1"/>
    <col min="9" max="9" width="8.00390625" style="89" customWidth="1"/>
    <col min="10" max="12" width="7.140625" style="89" customWidth="1"/>
    <col min="13" max="13" width="12.421875" style="90" hidden="1" customWidth="1"/>
    <col min="14" max="14" width="4.28125" style="133" hidden="1" customWidth="1"/>
    <col min="15" max="15" width="7.140625" style="135" hidden="1" customWidth="1"/>
    <col min="16" max="20" width="5.140625" style="133" hidden="1" customWidth="1"/>
    <col min="21" max="21" width="1.7109375" style="136" hidden="1" customWidth="1"/>
    <col min="22" max="22" width="7.140625" style="135" hidden="1" customWidth="1"/>
    <col min="23" max="27" width="5.140625" style="133" hidden="1" customWidth="1"/>
    <col min="28" max="28" width="1.7109375" style="136" hidden="1" customWidth="1"/>
    <col min="29" max="29" width="7.140625" style="135" hidden="1" customWidth="1"/>
    <col min="30" max="34" width="5.140625" style="133" hidden="1" customWidth="1"/>
    <col min="35" max="35" width="1.7109375" style="132" hidden="1" customWidth="1"/>
    <col min="36" max="36" width="3.8515625" style="143" hidden="1" customWidth="1"/>
    <col min="37" max="37" width="2.8515625" style="141" hidden="1" customWidth="1"/>
    <col min="38" max="38" width="28.421875" style="89" hidden="1" customWidth="1"/>
    <col min="39" max="39" width="3.00390625" style="89" hidden="1" customWidth="1"/>
    <col min="40" max="40" width="5.7109375" style="89" hidden="1" customWidth="1"/>
    <col min="41" max="41" width="6.140625" style="89" hidden="1" customWidth="1"/>
    <col min="42" max="43" width="5.7109375" style="89" hidden="1" customWidth="1"/>
    <col min="44" max="44" width="1.7109375" style="132" hidden="1" customWidth="1"/>
    <col min="45" max="45" width="3.8515625" style="143" hidden="1" customWidth="1"/>
    <col min="46" max="46" width="2.8515625" style="141" hidden="1" customWidth="1"/>
    <col min="47" max="47" width="28.421875" style="89" hidden="1" customWidth="1"/>
    <col min="48" max="48" width="3.00390625" style="89" hidden="1" customWidth="1"/>
    <col min="49" max="49" width="5.7109375" style="89" hidden="1" customWidth="1"/>
    <col min="50" max="50" width="6.140625" style="89" hidden="1" customWidth="1"/>
    <col min="51" max="52" width="5.7109375" style="89" hidden="1" customWidth="1"/>
    <col min="53" max="53" width="1.7109375" style="136" hidden="1" customWidth="1"/>
    <col min="54" max="54" width="3.8515625" style="143" hidden="1" customWidth="1"/>
    <col min="55" max="55" width="2.8515625" style="141" hidden="1" customWidth="1"/>
    <col min="56" max="56" width="28.421875" style="89" hidden="1" customWidth="1"/>
    <col min="57" max="57" width="3.00390625" style="89" hidden="1" customWidth="1"/>
    <col min="58" max="58" width="5.7109375" style="89" hidden="1" customWidth="1"/>
    <col min="59" max="59" width="6.140625" style="89" hidden="1" customWidth="1"/>
    <col min="60" max="61" width="5.7109375" style="89" hidden="1" customWidth="1"/>
    <col min="62" max="62" width="1.7109375" style="136" hidden="1" customWidth="1"/>
    <col min="63" max="63" width="3.7109375" style="89" hidden="1" customWidth="1"/>
    <col min="64" max="64" width="22.00390625" style="89" customWidth="1"/>
    <col min="65" max="16384" width="11.421875" style="89" customWidth="1"/>
  </cols>
  <sheetData>
    <row r="1" spans="2:62" s="142" customFormat="1" ht="9.75" customHeight="1">
      <c r="B1" s="181"/>
      <c r="M1" s="141"/>
      <c r="N1" s="183"/>
      <c r="O1" s="183"/>
      <c r="P1" s="183"/>
      <c r="Q1" s="183"/>
      <c r="R1" s="183"/>
      <c r="S1" s="183"/>
      <c r="T1" s="183"/>
      <c r="U1" s="183"/>
      <c r="V1" s="182"/>
      <c r="W1" s="183"/>
      <c r="X1" s="183"/>
      <c r="Y1" s="183"/>
      <c r="Z1" s="183"/>
      <c r="AA1" s="183"/>
      <c r="AB1" s="183"/>
      <c r="AC1" s="182"/>
      <c r="AD1" s="183"/>
      <c r="AE1" s="183"/>
      <c r="AF1" s="183"/>
      <c r="AG1" s="183"/>
      <c r="AH1" s="183"/>
      <c r="AI1" s="141"/>
      <c r="AJ1" s="141"/>
      <c r="AK1" s="141"/>
      <c r="AR1" s="141"/>
      <c r="AS1" s="141"/>
      <c r="AT1" s="141"/>
      <c r="BA1" s="183"/>
      <c r="BB1" s="141"/>
      <c r="BC1" s="141"/>
      <c r="BJ1" s="183"/>
    </row>
    <row r="2" spans="3:56" ht="23.25">
      <c r="C2" s="641" t="s">
        <v>173</v>
      </c>
      <c r="D2" s="641"/>
      <c r="E2" s="641"/>
      <c r="F2" s="641"/>
      <c r="G2" s="641"/>
      <c r="H2" s="641"/>
      <c r="I2" s="641"/>
      <c r="J2" s="641"/>
      <c r="K2" s="641"/>
      <c r="L2" s="641"/>
      <c r="AL2" s="145" t="s">
        <v>277</v>
      </c>
      <c r="AU2" s="145" t="s">
        <v>278</v>
      </c>
      <c r="BD2" s="145" t="s">
        <v>279</v>
      </c>
    </row>
    <row r="3" spans="3:60" ht="27.75" customHeight="1">
      <c r="C3" s="642" t="s">
        <v>273</v>
      </c>
      <c r="D3" s="642"/>
      <c r="E3" s="642"/>
      <c r="F3" s="642"/>
      <c r="G3" s="643"/>
      <c r="H3" s="643"/>
      <c r="I3" s="643"/>
      <c r="J3" s="643"/>
      <c r="K3" s="643"/>
      <c r="L3" s="643"/>
      <c r="AL3" s="161" t="s">
        <v>281</v>
      </c>
      <c r="AN3" s="165" t="s">
        <v>286</v>
      </c>
      <c r="AO3" s="166" t="s">
        <v>287</v>
      </c>
      <c r="AP3" s="167" t="s">
        <v>288</v>
      </c>
      <c r="AU3" s="161" t="s">
        <v>282</v>
      </c>
      <c r="AW3" s="165" t="s">
        <v>283</v>
      </c>
      <c r="AX3" s="166" t="s">
        <v>284</v>
      </c>
      <c r="AY3" s="167" t="s">
        <v>285</v>
      </c>
      <c r="BD3" s="161" t="s">
        <v>291</v>
      </c>
      <c r="BF3" s="165" t="s">
        <v>292</v>
      </c>
      <c r="BG3" s="166" t="s">
        <v>293</v>
      </c>
      <c r="BH3" s="167" t="s">
        <v>294</v>
      </c>
    </row>
    <row r="4" spans="3:62" ht="9" customHeight="1">
      <c r="C4" s="125"/>
      <c r="D4" s="125"/>
      <c r="E4" s="125"/>
      <c r="F4" s="125"/>
      <c r="G4" s="125"/>
      <c r="H4" s="125"/>
      <c r="I4" s="125"/>
      <c r="J4" s="125"/>
      <c r="K4" s="125"/>
      <c r="L4" s="125"/>
      <c r="O4" s="133" t="s">
        <v>274</v>
      </c>
      <c r="U4" s="134"/>
      <c r="V4" s="133" t="s">
        <v>275</v>
      </c>
      <c r="AB4" s="134"/>
      <c r="AC4" s="133" t="s">
        <v>276</v>
      </c>
      <c r="AI4" s="131"/>
      <c r="AJ4" s="141"/>
      <c r="AR4" s="131"/>
      <c r="AS4" s="141"/>
      <c r="BA4" s="134"/>
      <c r="BB4" s="141"/>
      <c r="BJ4" s="134"/>
    </row>
    <row r="5" ht="9" customHeight="1"/>
    <row r="6" ht="11.25" customHeight="1"/>
    <row r="7" spans="6:11" ht="12.75" thickBot="1">
      <c r="F7" s="89" t="s">
        <v>262</v>
      </c>
      <c r="G7" s="89" t="s">
        <v>263</v>
      </c>
      <c r="H7" s="89" t="s">
        <v>264</v>
      </c>
      <c r="I7" s="89" t="s">
        <v>309</v>
      </c>
      <c r="J7" s="89" t="s">
        <v>266</v>
      </c>
      <c r="K7" s="89" t="s">
        <v>301</v>
      </c>
    </row>
    <row r="8" spans="3:55" ht="15.75" customHeight="1" thickTop="1">
      <c r="C8" s="636" t="str">
        <f>'Fase Grups'!E5</f>
        <v>A</v>
      </c>
      <c r="D8" s="123">
        <f>'Fase Grups'!B13</f>
        <v>0.3958333333333333</v>
      </c>
      <c r="E8" s="91" t="s">
        <v>65</v>
      </c>
      <c r="F8" s="126" t="str">
        <f aca="true" t="shared" si="0" ref="F8:F13">VLOOKUP(E8,$C$16:$F$18,4,1)</f>
        <v>LINO BRIZZI</v>
      </c>
      <c r="G8" s="120">
        <v>28</v>
      </c>
      <c r="H8" s="644">
        <v>50</v>
      </c>
      <c r="I8" s="94">
        <f>IF(H8="","",G8/H8)</f>
        <v>0.56</v>
      </c>
      <c r="J8" s="120">
        <v>4</v>
      </c>
      <c r="K8" s="95">
        <f>IF(H8="","",IF(G8&lt;G9,0,IF(G8&gt;G9,2,1)))</f>
        <v>2</v>
      </c>
      <c r="L8" s="96"/>
      <c r="AK8" s="168" t="s">
        <v>295</v>
      </c>
      <c r="AT8" s="168" t="s">
        <v>296</v>
      </c>
      <c r="BC8" s="168" t="s">
        <v>297</v>
      </c>
    </row>
    <row r="9" spans="3:55" ht="15.75" customHeight="1" thickBot="1">
      <c r="C9" s="637"/>
      <c r="D9" s="124" t="str">
        <f>CONCATENATE("Mesa ",'Fase Grups'!D12)</f>
        <v>Mesa 1</v>
      </c>
      <c r="E9" s="97" t="s">
        <v>66</v>
      </c>
      <c r="F9" s="127" t="str">
        <f t="shared" si="0"/>
        <v>ALBERT FRANQUET MASIP</v>
      </c>
      <c r="G9" s="121">
        <v>8</v>
      </c>
      <c r="H9" s="645"/>
      <c r="I9" s="100">
        <f>IF(H8="","",G9/H8)</f>
        <v>0.16</v>
      </c>
      <c r="J9" s="121">
        <v>3</v>
      </c>
      <c r="K9" s="101">
        <f>IF(H8="","",IF(G9&lt;G8,0,IF(G9&gt;G8,2,1)))</f>
        <v>0</v>
      </c>
      <c r="L9" s="96"/>
      <c r="AK9" s="169" t="s">
        <v>289</v>
      </c>
      <c r="AT9" s="169" t="s">
        <v>289</v>
      </c>
      <c r="BC9" s="169" t="s">
        <v>289</v>
      </c>
    </row>
    <row r="10" spans="3:55" ht="15.75" customHeight="1" thickTop="1">
      <c r="C10" s="637"/>
      <c r="D10" s="195">
        <v>0.7291666666666666</v>
      </c>
      <c r="E10" s="91" t="s">
        <v>64</v>
      </c>
      <c r="F10" s="126" t="str">
        <f>VLOOKUP(E10,$C$16:$F$18,4,1)</f>
        <v>RICARD FIOL MESZAROS</v>
      </c>
      <c r="G10" s="120">
        <v>29</v>
      </c>
      <c r="H10" s="644">
        <v>50</v>
      </c>
      <c r="I10" s="94">
        <f>IF(H10="","",G10/H10)</f>
        <v>0.58</v>
      </c>
      <c r="J10" s="120">
        <v>4</v>
      </c>
      <c r="K10" s="95">
        <f>IF(H10="","",IF(G10&lt;G11,0,IF(G10&gt;G11,2,1)))</f>
        <v>2</v>
      </c>
      <c r="L10" s="96"/>
      <c r="AK10" s="169" t="s">
        <v>290</v>
      </c>
      <c r="AT10" s="169" t="s">
        <v>290</v>
      </c>
      <c r="BC10" s="169" t="s">
        <v>290</v>
      </c>
    </row>
    <row r="11" spans="3:12" ht="15.75" customHeight="1" thickBot="1">
      <c r="C11" s="637"/>
      <c r="D11" s="193" t="s">
        <v>305</v>
      </c>
      <c r="E11" s="102" t="s">
        <v>65</v>
      </c>
      <c r="F11" s="128" t="str">
        <f t="shared" si="0"/>
        <v>LINO BRIZZI</v>
      </c>
      <c r="G11" s="121">
        <v>22</v>
      </c>
      <c r="H11" s="645"/>
      <c r="I11" s="100">
        <f>IF(H10="","",G11/H10)</f>
        <v>0.44</v>
      </c>
      <c r="J11" s="121">
        <v>4</v>
      </c>
      <c r="K11" s="101">
        <f>IF(H10="","",IF(G11&lt;G10,0,IF(G11&gt;G10,2,1)))</f>
        <v>0</v>
      </c>
      <c r="L11" s="96"/>
    </row>
    <row r="12" spans="3:12" ht="15.75" customHeight="1" thickTop="1">
      <c r="C12" s="637"/>
      <c r="D12" s="194">
        <v>0.5208333333333334</v>
      </c>
      <c r="E12" s="104" t="s">
        <v>64</v>
      </c>
      <c r="F12" s="129" t="str">
        <f t="shared" si="0"/>
        <v>RICARD FIOL MESZAROS</v>
      </c>
      <c r="G12" s="120">
        <v>30</v>
      </c>
      <c r="H12" s="644">
        <v>21</v>
      </c>
      <c r="I12" s="94">
        <f>IF(H12="","",G12/H12)</f>
        <v>1.4285714285714286</v>
      </c>
      <c r="J12" s="120">
        <v>6</v>
      </c>
      <c r="K12" s="95">
        <f>IF(H12="","",IF(G12&lt;G13,0,IF(G12&gt;G13,2,1)))</f>
        <v>2</v>
      </c>
      <c r="L12" s="96"/>
    </row>
    <row r="13" spans="3:12" ht="15.75" customHeight="1" thickBot="1">
      <c r="C13" s="638"/>
      <c r="D13" s="193" t="s">
        <v>305</v>
      </c>
      <c r="E13" s="102" t="s">
        <v>66</v>
      </c>
      <c r="F13" s="128" t="str">
        <f t="shared" si="0"/>
        <v>ALBERT FRANQUET MASIP</v>
      </c>
      <c r="G13" s="122">
        <v>3</v>
      </c>
      <c r="H13" s="645"/>
      <c r="I13" s="107">
        <f>IF(H12="","",G13/H12)</f>
        <v>0.14285714285714285</v>
      </c>
      <c r="J13" s="122">
        <v>2</v>
      </c>
      <c r="K13" s="108">
        <f>IF(H12="","",IF(G13&lt;G12,0,IF(G13&gt;G12,2,1)))</f>
        <v>0</v>
      </c>
      <c r="L13" s="96"/>
    </row>
    <row r="14" spans="2:62" s="90" customFormat="1" ht="9.75">
      <c r="B14" s="179"/>
      <c r="G14" s="179">
        <f>SUM(G8:G13)</f>
        <v>120</v>
      </c>
      <c r="N14" s="133"/>
      <c r="O14" s="133"/>
      <c r="P14" s="133"/>
      <c r="Q14" s="133"/>
      <c r="R14" s="133"/>
      <c r="S14" s="133"/>
      <c r="T14" s="133"/>
      <c r="U14" s="134"/>
      <c r="V14" s="133"/>
      <c r="W14" s="133"/>
      <c r="X14" s="133"/>
      <c r="Y14" s="133"/>
      <c r="Z14" s="133"/>
      <c r="AA14" s="133"/>
      <c r="AB14" s="134"/>
      <c r="AC14" s="133"/>
      <c r="AD14" s="133"/>
      <c r="AE14" s="133"/>
      <c r="AF14" s="133"/>
      <c r="AG14" s="133"/>
      <c r="AH14" s="133"/>
      <c r="AI14" s="131"/>
      <c r="AJ14" s="141"/>
      <c r="AK14" s="141"/>
      <c r="AR14" s="131"/>
      <c r="AS14" s="141"/>
      <c r="AT14" s="141"/>
      <c r="BA14" s="134"/>
      <c r="BB14" s="141"/>
      <c r="BC14" s="141"/>
      <c r="BJ14" s="134"/>
    </row>
    <row r="15" spans="2:62" ht="12.75" thickBot="1">
      <c r="B15" s="179" t="s">
        <v>271</v>
      </c>
      <c r="D15" s="119" t="s">
        <v>268</v>
      </c>
      <c r="E15" s="110" t="str">
        <f>C8</f>
        <v>A</v>
      </c>
      <c r="F15" s="89" t="s">
        <v>262</v>
      </c>
      <c r="G15" s="89" t="s">
        <v>263</v>
      </c>
      <c r="H15" s="89" t="s">
        <v>264</v>
      </c>
      <c r="I15" s="89" t="s">
        <v>309</v>
      </c>
      <c r="J15" s="89" t="s">
        <v>266</v>
      </c>
      <c r="K15" s="89" t="s">
        <v>301</v>
      </c>
      <c r="L15" s="89" t="s">
        <v>269</v>
      </c>
      <c r="M15" s="109" t="s">
        <v>272</v>
      </c>
      <c r="N15" s="133" t="s">
        <v>270</v>
      </c>
      <c r="O15" s="137" t="s">
        <v>274</v>
      </c>
      <c r="P15" s="133" t="s">
        <v>263</v>
      </c>
      <c r="Q15" s="133" t="s">
        <v>264</v>
      </c>
      <c r="R15" s="133" t="s">
        <v>265</v>
      </c>
      <c r="S15" s="133" t="s">
        <v>266</v>
      </c>
      <c r="T15" s="133" t="s">
        <v>267</v>
      </c>
      <c r="U15" s="134"/>
      <c r="V15" s="137"/>
      <c r="W15" s="133" t="s">
        <v>263</v>
      </c>
      <c r="X15" s="133" t="s">
        <v>264</v>
      </c>
      <c r="Y15" s="133" t="s">
        <v>265</v>
      </c>
      <c r="Z15" s="133" t="s">
        <v>266</v>
      </c>
      <c r="AA15" s="133" t="s">
        <v>267</v>
      </c>
      <c r="AB15" s="134"/>
      <c r="AD15" s="133" t="s">
        <v>263</v>
      </c>
      <c r="AE15" s="133" t="s">
        <v>264</v>
      </c>
      <c r="AF15" s="133" t="s">
        <v>265</v>
      </c>
      <c r="AG15" s="133" t="s">
        <v>266</v>
      </c>
      <c r="AH15" s="133" t="s">
        <v>267</v>
      </c>
      <c r="AI15" s="131"/>
      <c r="AJ15" s="141" t="s">
        <v>280</v>
      </c>
      <c r="AL15" s="135" t="s">
        <v>262</v>
      </c>
      <c r="AM15" s="133" t="s">
        <v>263</v>
      </c>
      <c r="AN15" s="133" t="s">
        <v>264</v>
      </c>
      <c r="AO15" s="162" t="s">
        <v>265</v>
      </c>
      <c r="AP15" s="163" t="s">
        <v>266</v>
      </c>
      <c r="AQ15" s="164" t="s">
        <v>267</v>
      </c>
      <c r="AR15" s="131"/>
      <c r="AS15" s="141" t="s">
        <v>280</v>
      </c>
      <c r="AU15" s="135" t="s">
        <v>262</v>
      </c>
      <c r="AV15" s="133" t="s">
        <v>263</v>
      </c>
      <c r="AW15" s="133" t="s">
        <v>264</v>
      </c>
      <c r="AX15" s="162" t="s">
        <v>265</v>
      </c>
      <c r="AY15" s="163" t="s">
        <v>266</v>
      </c>
      <c r="AZ15" s="164" t="s">
        <v>267</v>
      </c>
      <c r="BA15" s="134"/>
      <c r="BB15" s="141" t="s">
        <v>280</v>
      </c>
      <c r="BD15" s="135" t="s">
        <v>262</v>
      </c>
      <c r="BE15" s="133" t="s">
        <v>263</v>
      </c>
      <c r="BF15" s="133" t="s">
        <v>264</v>
      </c>
      <c r="BG15" s="162" t="s">
        <v>265</v>
      </c>
      <c r="BH15" s="163" t="s">
        <v>266</v>
      </c>
      <c r="BI15" s="164" t="s">
        <v>267</v>
      </c>
      <c r="BJ15" s="134"/>
    </row>
    <row r="16" spans="2:61" ht="18" thickTop="1">
      <c r="B16" s="179">
        <f>N16</f>
        <v>1</v>
      </c>
      <c r="C16" s="179" t="str">
        <f>CONCATENATE("A",E16)</f>
        <v>A1</v>
      </c>
      <c r="D16" s="188">
        <v>17</v>
      </c>
      <c r="E16" s="93">
        <v>1</v>
      </c>
      <c r="F16" s="92" t="str">
        <f>IF(D16="","",VLOOKUP(D16,'Ranquing Inicial'!$B$6:$V$69,2,0))</f>
        <v>RICARD FIOL MESZAROS</v>
      </c>
      <c r="G16" s="93">
        <f>SUM(G10,G12)</f>
        <v>59</v>
      </c>
      <c r="H16" s="93">
        <f>SUM(H10,H12)</f>
        <v>71</v>
      </c>
      <c r="I16" s="111">
        <f>IF(H16="","",G16/H16)</f>
        <v>0.8309859154929577</v>
      </c>
      <c r="J16" s="93">
        <f>MAX(J10,J12)</f>
        <v>6</v>
      </c>
      <c r="K16" s="95">
        <f>SUM(K10,K12)</f>
        <v>4</v>
      </c>
      <c r="L16" s="200" t="str">
        <f>IF(ISERROR(I16),"",N16&amp;"º")</f>
        <v>1º</v>
      </c>
      <c r="M16" s="112">
        <f>IF(ISERROR(I16),"",SUM(K16,I16/1000,J16/1000000))</f>
        <v>4.000836985915493</v>
      </c>
      <c r="N16" s="133">
        <f>IF(ISERROR(I16),"",RANK(M16,M16:M18))</f>
        <v>1</v>
      </c>
      <c r="O16" s="137" t="str">
        <f>IF(N16=1,VLOOKUP(1,B16:K18,5,0),"")</f>
        <v>RICARD FIOL MESZAROS</v>
      </c>
      <c r="P16" s="138">
        <f>IF(N16=1,VLOOKUP(1,B16:K18,6,0),"")</f>
        <v>59</v>
      </c>
      <c r="Q16" s="138">
        <f>IF(N16=1,VLOOKUP(1,B16:K18,7,0),"")</f>
        <v>71</v>
      </c>
      <c r="R16" s="139">
        <f>IF(N16=1,VLOOKUP(1,B16:K18,8,0),"")</f>
        <v>0.8309859154929577</v>
      </c>
      <c r="S16" s="138">
        <f>IF(N16=1,VLOOKUP(1,B16:K18,9,0),"")</f>
        <v>6</v>
      </c>
      <c r="T16" s="138">
        <f>IF(N16=1,VLOOKUP(1,B16:K18,10,0),"")</f>
        <v>4</v>
      </c>
      <c r="V16" s="137">
        <f>IF(N16=2,VLOOKUP(2,B16:K18,5,0),"")</f>
      </c>
      <c r="W16" s="138">
        <f>IF(N16=2,VLOOKUP(2,B16:K18,6,0),"")</f>
      </c>
      <c r="X16" s="138">
        <f>IF(N16=2,VLOOKUP(2,B16:K18,7,0),"")</f>
      </c>
      <c r="Y16" s="139">
        <f>IF(N16=2,VLOOKUP(2,B16:K18,8,0),"")</f>
      </c>
      <c r="Z16" s="138">
        <f>IF(N16=2,VLOOKUP(2,B16:K18,9,0),"")</f>
      </c>
      <c r="AA16" s="138">
        <f>IF(N16=2,VLOOKUP(2,$B$16:$K$18,10,0),"")</f>
      </c>
      <c r="AC16" s="135">
        <f>IF(N16=3,VLOOKUP(3,B16:K18,5,0),"")</f>
      </c>
      <c r="AD16" s="138">
        <f>IF(N16=3,VLOOKUP(3,B16:K18,6,0),"")</f>
      </c>
      <c r="AE16" s="138">
        <f>IF(N16=3,VLOOKUP(3,B16:K18,7,0),"")</f>
      </c>
      <c r="AF16" s="139">
        <f>IF(N16=3,VLOOKUP(3,B16:K18,8,0),"")</f>
      </c>
      <c r="AG16" s="138">
        <f>IF(N16=3,VLOOKUP(3,B16:K18,9,0),"")</f>
      </c>
      <c r="AH16" s="138">
        <f>IF(N16=3,VLOOKUP(3,B16:K18,10,0),"")</f>
      </c>
      <c r="AJ16" s="146"/>
      <c r="AK16" s="314"/>
      <c r="AL16" s="147">
        <f>$O$18</f>
      </c>
      <c r="AM16" s="148">
        <f>$P$18</f>
      </c>
      <c r="AN16" s="148">
        <f>$Q$18</f>
      </c>
      <c r="AO16" s="149">
        <f>$R$18</f>
      </c>
      <c r="AP16" s="148">
        <f>$S$18</f>
      </c>
      <c r="AQ16" s="150">
        <f>$T$18</f>
      </c>
      <c r="AS16" s="146"/>
      <c r="AT16" s="314"/>
      <c r="AU16" s="147">
        <f>$V$18</f>
      </c>
      <c r="AV16" s="148">
        <f>$W$18</f>
      </c>
      <c r="AW16" s="148">
        <f>$X$18</f>
      </c>
      <c r="AX16" s="149">
        <f>$Y$18</f>
      </c>
      <c r="AY16" s="148">
        <f>$Z$18</f>
      </c>
      <c r="AZ16" s="150">
        <f>$AA$18</f>
      </c>
      <c r="BB16" s="146"/>
      <c r="BC16" s="314"/>
      <c r="BD16" s="147">
        <f>$AC$16</f>
      </c>
      <c r="BE16" s="148">
        <f>$AD$16</f>
      </c>
      <c r="BF16" s="148">
        <f>$AE$16</f>
      </c>
      <c r="BG16" s="149">
        <f>$AF$16</f>
      </c>
      <c r="BH16" s="148">
        <f>$AG$16</f>
      </c>
      <c r="BI16" s="150">
        <f>$AH$16</f>
      </c>
    </row>
    <row r="17" spans="2:61" ht="16.5">
      <c r="B17" s="179">
        <f>N17</f>
        <v>2</v>
      </c>
      <c r="C17" s="179" t="str">
        <f>CONCATENATE("A",E17)</f>
        <v>A2</v>
      </c>
      <c r="D17" s="189">
        <v>48</v>
      </c>
      <c r="E17" s="114">
        <v>2</v>
      </c>
      <c r="F17" s="115" t="str">
        <f>IF(D17="","",VLOOKUP(D17,'Ranquing Inicial'!$B$6:$V$69,2,0))</f>
        <v>LINO BRIZZI</v>
      </c>
      <c r="G17" s="114">
        <f>SUM(G8,G11)</f>
        <v>50</v>
      </c>
      <c r="H17" s="114">
        <f>SUM(H8,H10)</f>
        <v>100</v>
      </c>
      <c r="I17" s="116">
        <f>IF(H17="","",G17/H17)</f>
        <v>0.5</v>
      </c>
      <c r="J17" s="114">
        <f>MAX(J8,J11)</f>
        <v>4</v>
      </c>
      <c r="K17" s="117">
        <f>SUM(K8,K11)</f>
        <v>2</v>
      </c>
      <c r="L17" s="199" t="str">
        <f>IF(ISERROR(I17),"",N17&amp;"º")</f>
        <v>2º</v>
      </c>
      <c r="M17" s="112">
        <f>IF(ISERROR(I17),"",SUM(K17,I17/1000,J17/1000000))</f>
        <v>2.0005040000000003</v>
      </c>
      <c r="N17" s="133">
        <f>IF(ISERROR(I17),"",RANK(M17,M16:M18))</f>
        <v>2</v>
      </c>
      <c r="O17" s="137">
        <f>IF(N17=1,VLOOKUP(1,B16:K18,5,0),"")</f>
      </c>
      <c r="P17" s="138">
        <f>IF(N17=1,VLOOKUP(1,B16:K18,6,0),"")</f>
      </c>
      <c r="Q17" s="138">
        <f>IF(N17=1,VLOOKUP(1,B16:K18,7,0),"")</f>
      </c>
      <c r="R17" s="139">
        <f>IF(N17=1,VLOOKUP(1,B16:K18,8,0),"")</f>
      </c>
      <c r="S17" s="138">
        <f>IF(N17=1,VLOOKUP(1,B16:K18,9,0),"")</f>
      </c>
      <c r="T17" s="138">
        <f>IF(N17=1,VLOOKUP(1,B16:K18,10,0),"")</f>
      </c>
      <c r="V17" s="137" t="str">
        <f>IF(N17=2,VLOOKUP(2,B16:K18,5,0),"")</f>
        <v>LINO BRIZZI</v>
      </c>
      <c r="W17" s="138">
        <f>IF(N17=2,VLOOKUP(2,B16:K18,6,0),"")</f>
        <v>50</v>
      </c>
      <c r="X17" s="138">
        <f>IF(N17=2,VLOOKUP(2,B16:K18,7,0),"")</f>
        <v>100</v>
      </c>
      <c r="Y17" s="139">
        <f>IF(N17=2,VLOOKUP(2,B16:$K18,8,0),"")</f>
        <v>0.5</v>
      </c>
      <c r="Z17" s="138">
        <f>IF(N17=2,VLOOKUP(2,B16:K18,9,0),"")</f>
        <v>4</v>
      </c>
      <c r="AA17" s="138">
        <f>IF(N17=2,VLOOKUP(2,B16:K18,10,0),"")</f>
        <v>2</v>
      </c>
      <c r="AC17" s="135">
        <f>IF(N17=3,VLOOKUP(3,B16:K18,5,0),"")</f>
      </c>
      <c r="AD17" s="138">
        <f>IF(N17=3,VLOOKUP(3,B16:K18,6,0),"")</f>
      </c>
      <c r="AE17" s="138">
        <f>IF(N17=3,VLOOKUP(3,B16:K18,7,0),"")</f>
      </c>
      <c r="AF17" s="139">
        <f>IF(N17=3,VLOOKUP(3,B16:K18,8,0),"")</f>
      </c>
      <c r="AG17" s="138">
        <f>IF(N17=3,VLOOKUP(3,B16:K18,9,0),"")</f>
      </c>
      <c r="AH17" s="138">
        <f>IF(N17=3,VLOOKUP(3,B16:K18,10,0),"")</f>
      </c>
      <c r="AJ17" s="151"/>
      <c r="AK17" s="315"/>
      <c r="AL17" s="152">
        <f>$O$32</f>
      </c>
      <c r="AM17" s="153">
        <f>$P$32</f>
      </c>
      <c r="AN17" s="153">
        <f>$Q$32</f>
      </c>
      <c r="AO17" s="154">
        <f>$R$32</f>
      </c>
      <c r="AP17" s="153">
        <f>$S$32</f>
      </c>
      <c r="AQ17" s="155">
        <f>$T$32</f>
      </c>
      <c r="AS17" s="151"/>
      <c r="AT17" s="315"/>
      <c r="AU17" s="152">
        <f>$V$30</f>
      </c>
      <c r="AV17" s="153">
        <f>$W$30</f>
      </c>
      <c r="AW17" s="153">
        <f>$X$30</f>
      </c>
      <c r="AX17" s="154">
        <f>$Y$30</f>
      </c>
      <c r="AY17" s="153">
        <f>$Z$30</f>
      </c>
      <c r="AZ17" s="155">
        <f>$AA$30</f>
      </c>
      <c r="BB17" s="151"/>
      <c r="BC17" s="315"/>
      <c r="BD17" s="152">
        <f>$AC$17</f>
      </c>
      <c r="BE17" s="153">
        <f>$AD$17</f>
      </c>
      <c r="BF17" s="153">
        <f>$AE$17</f>
      </c>
      <c r="BG17" s="154">
        <f>$AF$17</f>
      </c>
      <c r="BH17" s="153">
        <f>$AG$17</f>
      </c>
      <c r="BI17" s="155">
        <f>$AH$17</f>
      </c>
    </row>
    <row r="18" spans="2:61" ht="18" thickBot="1">
      <c r="B18" s="179">
        <f>N18</f>
        <v>3</v>
      </c>
      <c r="C18" s="179" t="str">
        <f>CONCATENATE("A",E18)</f>
        <v>A3</v>
      </c>
      <c r="D18" s="190">
        <v>64</v>
      </c>
      <c r="E18" s="106">
        <v>3</v>
      </c>
      <c r="F18" s="103" t="str">
        <f>IF(D18="","",VLOOKUP(D18,'Ranquing Inicial'!$B$6:$V$69,2,0))</f>
        <v>ALBERT FRANQUET MASIP</v>
      </c>
      <c r="G18" s="106">
        <f>SUM(G9,G13)</f>
        <v>11</v>
      </c>
      <c r="H18" s="106">
        <f>SUM(H8,H12)</f>
        <v>71</v>
      </c>
      <c r="I18" s="118">
        <f>IF(H18="","",G18/H18)</f>
        <v>0.15492957746478872</v>
      </c>
      <c r="J18" s="106">
        <f>MAX(J9,J13)</f>
        <v>3</v>
      </c>
      <c r="K18" s="108">
        <f>SUM(K9,K13)</f>
        <v>0</v>
      </c>
      <c r="L18" s="201" t="str">
        <f>IF(ISERROR(I18),"",N18&amp;"º")</f>
        <v>3º</v>
      </c>
      <c r="M18" s="112">
        <f>IF(ISERROR(I18),"",SUM(K18,I18/1000,J18/1000000))</f>
        <v>0.0001579295774647887</v>
      </c>
      <c r="N18" s="133">
        <f>IF(ISERROR(I18),"",RANK(M18,M16:M18))</f>
        <v>3</v>
      </c>
      <c r="O18" s="137">
        <f>IF(N18=1,VLOOKUP(1,B16:K18,5,0),"")</f>
      </c>
      <c r="P18" s="138">
        <f>IF(N18=1,VLOOKUP(1,B16:K18,6,0),"")</f>
      </c>
      <c r="Q18" s="138">
        <f>IF(N18=1,VLOOKUP(1,B16:K18,7,0),"")</f>
      </c>
      <c r="R18" s="139">
        <f>IF(N18=1,VLOOKUP(1,B16:K18,8,0),"")</f>
      </c>
      <c r="S18" s="138">
        <f>IF(N18=1,VLOOKUP(1,B16:K18,9,0),"")</f>
      </c>
      <c r="T18" s="138">
        <f>IF(N18=1,VLOOKUP(1,B16:K18,10,0),"")</f>
      </c>
      <c r="V18" s="135">
        <f>IF(N18=2,VLOOKUP(2,B16:K18,5,0),"")</f>
      </c>
      <c r="W18" s="138">
        <f>IF(N18=2,VLOOKUP(2,B16:K18,6,0),"")</f>
      </c>
      <c r="X18" s="138">
        <f>IF(N18=2,VLOOKUP(2,B16:K18,7,0),"")</f>
      </c>
      <c r="Y18" s="139">
        <f>IF(N18=2,VLOOKUP(2,B16:K18,8,0),"")</f>
      </c>
      <c r="Z18" s="138">
        <f>IF(N18=2,VLOOKUP(2,B16:K18,9,0),"")</f>
      </c>
      <c r="AA18" s="138">
        <f>IF(N18=2,VLOOKUP(2,B16:K18,10,0),"")</f>
      </c>
      <c r="AC18" s="135" t="str">
        <f>IF(N18=3,VLOOKUP(3,B16:K18,5,0),"")</f>
        <v>ALBERT FRANQUET MASIP</v>
      </c>
      <c r="AD18" s="138">
        <f>IF(N18=3,VLOOKUP(3,B16:K18,6,0),"")</f>
        <v>11</v>
      </c>
      <c r="AE18" s="138">
        <f>IF(N18=3,VLOOKUP(3,B16:K18,7,0),"")</f>
        <v>71</v>
      </c>
      <c r="AF18" s="139">
        <f>IF(N18=3,VLOOKUP(3,B16:K18,8,0),"")</f>
        <v>0.15492957746478872</v>
      </c>
      <c r="AG18" s="138">
        <f>IF(N18=3,VLOOKUP(3,B16:K18,9,0),"")</f>
        <v>3</v>
      </c>
      <c r="AH18" s="138">
        <f>IF(N18=3,VLOOKUP(3,B16:K18,10,0),"")</f>
        <v>0</v>
      </c>
      <c r="AJ18" s="151"/>
      <c r="AK18" s="315"/>
      <c r="AL18" s="152">
        <f>$O$46</f>
      </c>
      <c r="AM18" s="153">
        <f>$P$46</f>
      </c>
      <c r="AN18" s="153">
        <f>$Q$46</f>
      </c>
      <c r="AO18" s="154">
        <f>$R$46</f>
      </c>
      <c r="AP18" s="153">
        <f>$S$46</f>
      </c>
      <c r="AQ18" s="155">
        <f>$T$46</f>
      </c>
      <c r="AS18" s="151"/>
      <c r="AT18" s="315"/>
      <c r="AU18" s="152">
        <f>$V$46</f>
      </c>
      <c r="AV18" s="153">
        <f>$W$46</f>
      </c>
      <c r="AW18" s="153">
        <f>$X$46</f>
      </c>
      <c r="AX18" s="154">
        <f>$Y$46</f>
      </c>
      <c r="AY18" s="153">
        <f>$Z$46</f>
      </c>
      <c r="AZ18" s="155">
        <f>$AA$46</f>
      </c>
      <c r="BB18" s="151"/>
      <c r="BC18" s="315"/>
      <c r="BD18" s="152">
        <f>$AC$31</f>
      </c>
      <c r="BE18" s="153">
        <f>$AD$31</f>
      </c>
      <c r="BF18" s="153">
        <f>$AE$31</f>
      </c>
      <c r="BG18" s="154">
        <f>$AF$31</f>
      </c>
      <c r="BH18" s="153">
        <f>$AG$31</f>
      </c>
      <c r="BI18" s="155">
        <f>$AH$31</f>
      </c>
    </row>
    <row r="19" spans="2:63" s="90" customFormat="1" ht="12.75" customHeight="1" thickTop="1">
      <c r="B19" s="179"/>
      <c r="I19" s="180">
        <f>MAX(I16:I18)</f>
        <v>0.8309859154929577</v>
      </c>
      <c r="J19" s="179"/>
      <c r="K19" s="179">
        <f>SUM(K16:K18)</f>
        <v>6</v>
      </c>
      <c r="L19" s="179" t="e">
        <f>MODE(K16:K18)</f>
        <v>#N/A</v>
      </c>
      <c r="N19" s="133"/>
      <c r="O19" s="135"/>
      <c r="P19" s="133"/>
      <c r="Q19" s="133"/>
      <c r="R19" s="133"/>
      <c r="S19" s="133"/>
      <c r="T19" s="133"/>
      <c r="U19" s="136"/>
      <c r="V19" s="135"/>
      <c r="W19" s="133"/>
      <c r="X19" s="133"/>
      <c r="Y19" s="133"/>
      <c r="Z19" s="133"/>
      <c r="AA19" s="133"/>
      <c r="AB19" s="136"/>
      <c r="AC19" s="135"/>
      <c r="AD19" s="133"/>
      <c r="AE19" s="133"/>
      <c r="AF19" s="133"/>
      <c r="AG19" s="133"/>
      <c r="AH19" s="133"/>
      <c r="AI19" s="132"/>
      <c r="AJ19" s="151"/>
      <c r="AK19" s="315"/>
      <c r="AL19" s="152">
        <f>$O$59</f>
      </c>
      <c r="AM19" s="153">
        <f>$P$59</f>
      </c>
      <c r="AN19" s="153">
        <f>$Q$59</f>
      </c>
      <c r="AO19" s="154">
        <f>$R$59</f>
      </c>
      <c r="AP19" s="153">
        <f>$S$59</f>
      </c>
      <c r="AQ19" s="155">
        <f>$T$59</f>
      </c>
      <c r="AR19" s="132"/>
      <c r="AS19" s="151"/>
      <c r="AT19" s="315"/>
      <c r="AU19" s="152">
        <f>$V$58</f>
      </c>
      <c r="AV19" s="153">
        <f>$W$58</f>
      </c>
      <c r="AW19" s="153">
        <f>$X$58</f>
      </c>
      <c r="AX19" s="154">
        <f>$Y$58</f>
      </c>
      <c r="AY19" s="153">
        <f>$Z$58</f>
      </c>
      <c r="AZ19" s="155">
        <f>$AA$58</f>
      </c>
      <c r="BA19" s="136"/>
      <c r="BB19" s="151"/>
      <c r="BC19" s="315"/>
      <c r="BD19" s="152">
        <f>$AC$44</f>
      </c>
      <c r="BE19" s="153">
        <f>$AD$44</f>
      </c>
      <c r="BF19" s="153">
        <f>$AE$44</f>
      </c>
      <c r="BG19" s="154">
        <f>$AF$44</f>
      </c>
      <c r="BH19" s="153">
        <f>$AG$44</f>
      </c>
      <c r="BI19" s="155">
        <f>$AH$44</f>
      </c>
      <c r="BJ19" s="136"/>
      <c r="BK19" s="89"/>
    </row>
    <row r="20" spans="36:61" ht="12">
      <c r="AJ20" s="151"/>
      <c r="AK20" s="315"/>
      <c r="AL20" s="152">
        <f>$O$60</f>
      </c>
      <c r="AM20" s="153">
        <f>$P$60</f>
      </c>
      <c r="AN20" s="153">
        <f>$Q$60</f>
      </c>
      <c r="AO20" s="154">
        <f>$R$60</f>
      </c>
      <c r="AP20" s="153">
        <f>$S$60</f>
      </c>
      <c r="AQ20" s="155">
        <f>$T$60</f>
      </c>
      <c r="AS20" s="151"/>
      <c r="AT20" s="315"/>
      <c r="AU20" s="152">
        <f>$V$60</f>
      </c>
      <c r="AV20" s="153">
        <f>$W$60</f>
      </c>
      <c r="AW20" s="153">
        <f>$X$60</f>
      </c>
      <c r="AX20" s="154">
        <f>$Y$60</f>
      </c>
      <c r="AY20" s="153">
        <f>$Z$60</f>
      </c>
      <c r="AZ20" s="155">
        <f>$AA$60</f>
      </c>
      <c r="BB20" s="151"/>
      <c r="BC20" s="315"/>
      <c r="BD20" s="152">
        <f>$AC$45</f>
      </c>
      <c r="BE20" s="153">
        <f>$AD$45</f>
      </c>
      <c r="BF20" s="153">
        <f>$AE$45</f>
      </c>
      <c r="BG20" s="154">
        <f>$AF$45</f>
      </c>
      <c r="BH20" s="153">
        <f>$AG$45</f>
      </c>
      <c r="BI20" s="155">
        <f>$AH$45</f>
      </c>
    </row>
    <row r="21" spans="6:61" ht="12.75" thickBot="1">
      <c r="F21" s="89" t="s">
        <v>262</v>
      </c>
      <c r="G21" s="89" t="s">
        <v>263</v>
      </c>
      <c r="H21" s="89" t="s">
        <v>264</v>
      </c>
      <c r="I21" s="89" t="s">
        <v>309</v>
      </c>
      <c r="J21" s="89" t="s">
        <v>266</v>
      </c>
      <c r="K21" s="89" t="s">
        <v>301</v>
      </c>
      <c r="AJ21" s="151"/>
      <c r="AK21" s="315"/>
      <c r="AL21" s="152">
        <f>$O$74</f>
      </c>
      <c r="AM21" s="153">
        <f>$P$74</f>
      </c>
      <c r="AN21" s="153">
        <f>$Q$74</f>
      </c>
      <c r="AO21" s="154">
        <f>$R$74</f>
      </c>
      <c r="AP21" s="153">
        <f>$S$74</f>
      </c>
      <c r="AQ21" s="155">
        <f>$T$74</f>
      </c>
      <c r="AS21" s="151"/>
      <c r="AT21" s="315"/>
      <c r="AU21" s="152">
        <f>$V$74</f>
      </c>
      <c r="AV21" s="153">
        <f>$W$74</f>
      </c>
      <c r="AW21" s="153">
        <f>$X$74</f>
      </c>
      <c r="AX21" s="154">
        <f>$Y$74</f>
      </c>
      <c r="AY21" s="153">
        <f>$Z$74</f>
      </c>
      <c r="AZ21" s="155">
        <f>$AA$74</f>
      </c>
      <c r="BB21" s="151"/>
      <c r="BC21" s="315"/>
      <c r="BD21" s="152">
        <f>$AC$58</f>
      </c>
      <c r="BE21" s="153">
        <f>$AD$58</f>
      </c>
      <c r="BF21" s="153">
        <f>$AE$58</f>
      </c>
      <c r="BG21" s="154">
        <f>$AF$58</f>
      </c>
      <c r="BH21" s="153">
        <f>$AG$58</f>
      </c>
      <c r="BI21" s="155">
        <f>$AH$58</f>
      </c>
    </row>
    <row r="22" spans="3:61" ht="15.75" customHeight="1" thickTop="1">
      <c r="C22" s="636" t="str">
        <f>'Fase Grups'!G5</f>
        <v>C</v>
      </c>
      <c r="D22" s="123">
        <f>'Fase Grups'!B13</f>
        <v>0.3958333333333333</v>
      </c>
      <c r="E22" s="91" t="s">
        <v>71</v>
      </c>
      <c r="F22" s="92" t="str">
        <f aca="true" t="shared" si="1" ref="F22:F27">VLOOKUP(E22,$C$30:$F$32,4,1)</f>
        <v>ENRIC AGUILAR FAYÓS</v>
      </c>
      <c r="G22" s="93">
        <v>30</v>
      </c>
      <c r="H22" s="639">
        <v>45</v>
      </c>
      <c r="I22" s="94">
        <f>IF(H22="","",G22/H22)</f>
        <v>0.6666666666666666</v>
      </c>
      <c r="J22" s="93">
        <v>3</v>
      </c>
      <c r="K22" s="95">
        <f>IF(H22="","",IF(G22&lt;G23,0,IF(G22&gt;G23,2,1)))</f>
        <v>2</v>
      </c>
      <c r="L22" s="96"/>
      <c r="AJ22" s="151"/>
      <c r="AK22" s="315"/>
      <c r="AL22" s="152">
        <f>$O$86</f>
      </c>
      <c r="AM22" s="153">
        <f>$P$86</f>
      </c>
      <c r="AN22" s="153">
        <f>$Q$86</f>
      </c>
      <c r="AO22" s="154">
        <f>$R$86</f>
      </c>
      <c r="AP22" s="153">
        <f>$S$86</f>
      </c>
      <c r="AQ22" s="155">
        <f>$T$86</f>
      </c>
      <c r="AS22" s="151"/>
      <c r="AT22" s="315"/>
      <c r="AU22" s="152">
        <f>$V$87</f>
      </c>
      <c r="AV22" s="153">
        <f>$W$87</f>
      </c>
      <c r="AW22" s="153">
        <f>$X$87</f>
      </c>
      <c r="AX22" s="154">
        <f>$Y$87</f>
      </c>
      <c r="AY22" s="153">
        <f>$Z$87</f>
      </c>
      <c r="AZ22" s="155">
        <f>$AA$87</f>
      </c>
      <c r="BB22" s="151"/>
      <c r="BC22" s="315"/>
      <c r="BD22" s="152">
        <f>$AC$59</f>
      </c>
      <c r="BE22" s="153">
        <f>$AD$59</f>
      </c>
      <c r="BF22" s="153">
        <f>$AE$59</f>
      </c>
      <c r="BG22" s="154">
        <f>$AF$59</f>
      </c>
      <c r="BH22" s="153">
        <f>$AG$59</f>
      </c>
      <c r="BI22" s="155">
        <f>$AH$59</f>
      </c>
    </row>
    <row r="23" spans="3:61" ht="15.75" customHeight="1" thickBot="1">
      <c r="C23" s="637"/>
      <c r="D23" s="124" t="str">
        <f>CONCATENATE("Mesa ",'Fase Grups'!F12)</f>
        <v>Mesa 2</v>
      </c>
      <c r="E23" s="97" t="s">
        <v>73</v>
      </c>
      <c r="F23" s="98" t="str">
        <f t="shared" si="1"/>
        <v>LLORENÇ BADÍA BOSQUE</v>
      </c>
      <c r="G23" s="99">
        <v>15</v>
      </c>
      <c r="H23" s="640"/>
      <c r="I23" s="100">
        <f>IF(H22="","",G23/H22)</f>
        <v>0.3333333333333333</v>
      </c>
      <c r="J23" s="99">
        <v>3</v>
      </c>
      <c r="K23" s="101">
        <f>IF(H22="","",IF(G23&lt;G22,0,IF(G23&gt;G22,2,1)))</f>
        <v>0</v>
      </c>
      <c r="L23" s="96"/>
      <c r="AJ23" s="151"/>
      <c r="AK23" s="315"/>
      <c r="AL23" s="152">
        <f>$O$88</f>
      </c>
      <c r="AM23" s="153">
        <f>$P$88</f>
      </c>
      <c r="AN23" s="153">
        <f>$Q$88</f>
      </c>
      <c r="AO23" s="154">
        <f>$R$88</f>
      </c>
      <c r="AP23" s="153">
        <f>$S$88</f>
      </c>
      <c r="AQ23" s="155">
        <f>$T$88</f>
      </c>
      <c r="AS23" s="151"/>
      <c r="AT23" s="315"/>
      <c r="AU23" s="152">
        <f>$V$102</f>
      </c>
      <c r="AV23" s="153">
        <f>$W$102</f>
      </c>
      <c r="AW23" s="153">
        <f>$X$102</f>
      </c>
      <c r="AX23" s="154">
        <f>$Y$102</f>
      </c>
      <c r="AY23" s="153">
        <f>$Z$102</f>
      </c>
      <c r="AZ23" s="155">
        <f>$AA$102</f>
      </c>
      <c r="BB23" s="151"/>
      <c r="BC23" s="315"/>
      <c r="BD23" s="152">
        <f>$AC$72</f>
      </c>
      <c r="BE23" s="153">
        <f>$AD$72</f>
      </c>
      <c r="BF23" s="153">
        <f>$AE$72</f>
      </c>
      <c r="BG23" s="154">
        <f>$AF$72</f>
      </c>
      <c r="BH23" s="153">
        <f>$AG$72</f>
      </c>
      <c r="BI23" s="155">
        <f>$AH$72</f>
      </c>
    </row>
    <row r="24" spans="3:61" ht="15.75" customHeight="1" thickTop="1">
      <c r="C24" s="637"/>
      <c r="D24" s="195">
        <v>0.7291666666666666</v>
      </c>
      <c r="E24" s="91" t="s">
        <v>70</v>
      </c>
      <c r="F24" s="92" t="str">
        <f t="shared" si="1"/>
        <v>FRANCISCO HERNÁNDEZ HERNÁNDEZ</v>
      </c>
      <c r="G24" s="93">
        <v>30</v>
      </c>
      <c r="H24" s="639">
        <v>38</v>
      </c>
      <c r="I24" s="94">
        <f>IF(H24="","",G24/H24)</f>
        <v>0.7894736842105263</v>
      </c>
      <c r="J24" s="93">
        <v>4</v>
      </c>
      <c r="K24" s="95">
        <f>IF(H24="","",IF(G24&lt;G25,0,IF(G24&gt;G25,2,1)))</f>
        <v>2</v>
      </c>
      <c r="L24" s="96"/>
      <c r="AJ24" s="151"/>
      <c r="AK24" s="315"/>
      <c r="AL24" s="152">
        <f>$O$102</f>
      </c>
      <c r="AM24" s="153">
        <f>$P$102</f>
      </c>
      <c r="AN24" s="153">
        <f>$Q$102</f>
      </c>
      <c r="AO24" s="154">
        <f>$R$102</f>
      </c>
      <c r="AP24" s="153">
        <f>$S$102</f>
      </c>
      <c r="AQ24" s="155">
        <f>$T$102</f>
      </c>
      <c r="AS24" s="151"/>
      <c r="AT24" s="315"/>
      <c r="AU24" s="152">
        <f>$V$114</f>
      </c>
      <c r="AV24" s="153">
        <f>$W$114</f>
      </c>
      <c r="AW24" s="153">
        <f>$X$114</f>
      </c>
      <c r="AX24" s="154">
        <f>$Y$114</f>
      </c>
      <c r="AY24" s="153">
        <f>$Z$114</f>
      </c>
      <c r="AZ24" s="155">
        <f>$AA$114</f>
      </c>
      <c r="BB24" s="151"/>
      <c r="BC24" s="315"/>
      <c r="BD24" s="152">
        <f>$AC$73</f>
      </c>
      <c r="BE24" s="153">
        <f>$AD$73</f>
      </c>
      <c r="BF24" s="153">
        <f>$AE$73</f>
      </c>
      <c r="BG24" s="154">
        <f>$AF$73</f>
      </c>
      <c r="BH24" s="153">
        <f>$AG$73</f>
      </c>
      <c r="BI24" s="155">
        <f>$AH$73</f>
      </c>
    </row>
    <row r="25" spans="3:61" ht="15.75" customHeight="1" thickBot="1">
      <c r="C25" s="637"/>
      <c r="D25" s="193" t="s">
        <v>306</v>
      </c>
      <c r="E25" s="102" t="s">
        <v>71</v>
      </c>
      <c r="F25" s="103" t="str">
        <f t="shared" si="1"/>
        <v>ENRIC AGUILAR FAYÓS</v>
      </c>
      <c r="G25" s="99">
        <v>22</v>
      </c>
      <c r="H25" s="640"/>
      <c r="I25" s="100">
        <f>IF(H24="","",G25/H24)</f>
        <v>0.5789473684210527</v>
      </c>
      <c r="J25" s="99">
        <v>3</v>
      </c>
      <c r="K25" s="101">
        <f>IF(H24="","",IF(G25&lt;G24,0,IF(G25&gt;G24,2,1)))</f>
        <v>0</v>
      </c>
      <c r="L25" s="96"/>
      <c r="AJ25" s="151"/>
      <c r="AK25" s="315"/>
      <c r="AL25" s="152">
        <f>$O$115</f>
      </c>
      <c r="AM25" s="153">
        <f>$P$115</f>
      </c>
      <c r="AN25" s="153">
        <f>$Q$115</f>
      </c>
      <c r="AO25" s="154">
        <f>$R$115</f>
      </c>
      <c r="AP25" s="153">
        <f>$S$115</f>
      </c>
      <c r="AQ25" s="155">
        <f>$T$115</f>
      </c>
      <c r="AS25" s="151"/>
      <c r="AT25" s="315"/>
      <c r="AU25" s="152">
        <f>$V$116</f>
      </c>
      <c r="AV25" s="153">
        <f>$W$116</f>
      </c>
      <c r="AW25" s="153">
        <f>$X$116</f>
      </c>
      <c r="AX25" s="154">
        <f>$Y$116</f>
      </c>
      <c r="AY25" s="153">
        <f>$Z$116</f>
      </c>
      <c r="AZ25" s="155">
        <f>$AA$116</f>
      </c>
      <c r="BB25" s="151"/>
      <c r="BC25" s="315"/>
      <c r="BD25" s="152">
        <f>$AC$87</f>
      </c>
      <c r="BE25" s="153">
        <f>$AD$87</f>
      </c>
      <c r="BF25" s="153">
        <f>$AE$87</f>
      </c>
      <c r="BG25" s="154">
        <f>$AF$87</f>
      </c>
      <c r="BH25" s="153">
        <f>$AG$87</f>
      </c>
      <c r="BI25" s="155">
        <f>$AH$87</f>
      </c>
    </row>
    <row r="26" spans="3:61" ht="15.75" customHeight="1" thickTop="1">
      <c r="C26" s="637"/>
      <c r="D26" s="194">
        <v>0.5208333333333334</v>
      </c>
      <c r="E26" s="104" t="s">
        <v>70</v>
      </c>
      <c r="F26" s="105" t="str">
        <f t="shared" si="1"/>
        <v>FRANCISCO HERNÁNDEZ HERNÁNDEZ</v>
      </c>
      <c r="G26" s="93">
        <v>27</v>
      </c>
      <c r="H26" s="639">
        <v>50</v>
      </c>
      <c r="I26" s="94">
        <f>IF(H26="","",G26/H26)</f>
        <v>0.54</v>
      </c>
      <c r="J26" s="93">
        <v>3</v>
      </c>
      <c r="K26" s="95">
        <f>IF(H26="","",IF(G26&lt;G27,0,IF(G26&gt;G27,2,1)))</f>
        <v>2</v>
      </c>
      <c r="L26" s="96"/>
      <c r="AJ26" s="151"/>
      <c r="AK26" s="315"/>
      <c r="AL26" s="152">
        <f>$O$116</f>
      </c>
      <c r="AM26" s="153">
        <f>$P$116</f>
      </c>
      <c r="AN26" s="153">
        <f>$Q$116</f>
      </c>
      <c r="AO26" s="154">
        <f>$R$116</f>
      </c>
      <c r="AP26" s="153">
        <f>$S$116</f>
      </c>
      <c r="AQ26" s="155">
        <f>$T$116</f>
      </c>
      <c r="AS26" s="151"/>
      <c r="AT26" s="315"/>
      <c r="AU26" s="152">
        <f>$V$16</f>
      </c>
      <c r="AV26" s="153">
        <f>$W$16</f>
      </c>
      <c r="AW26" s="153">
        <f>$X$16</f>
      </c>
      <c r="AX26" s="154">
        <f>$Y$16</f>
      </c>
      <c r="AY26" s="153">
        <f>$Z$16</f>
      </c>
      <c r="AZ26" s="155">
        <f>$AA$16</f>
      </c>
      <c r="BB26" s="151"/>
      <c r="BC26" s="315"/>
      <c r="BD26" s="152">
        <f>$AC$100</f>
      </c>
      <c r="BE26" s="153">
        <f>$AD$100</f>
      </c>
      <c r="BF26" s="153">
        <f>$AE$100</f>
      </c>
      <c r="BG26" s="154">
        <f>$AF$100</f>
      </c>
      <c r="BH26" s="153">
        <f>$AG$100</f>
      </c>
      <c r="BI26" s="155">
        <f>$AH$100</f>
      </c>
    </row>
    <row r="27" spans="3:61" ht="15.75" customHeight="1" thickBot="1">
      <c r="C27" s="638"/>
      <c r="D27" s="193" t="s">
        <v>306</v>
      </c>
      <c r="E27" s="102" t="s">
        <v>73</v>
      </c>
      <c r="F27" s="103" t="str">
        <f t="shared" si="1"/>
        <v>LLORENÇ BADÍA BOSQUE</v>
      </c>
      <c r="G27" s="106">
        <v>18</v>
      </c>
      <c r="H27" s="640"/>
      <c r="I27" s="107">
        <f>IF(H26="","",G27/H26)</f>
        <v>0.36</v>
      </c>
      <c r="J27" s="106">
        <v>2</v>
      </c>
      <c r="K27" s="108">
        <f>IF(H26="","",IF(G27&lt;G26,0,IF(G27&gt;G26,2,1)))</f>
        <v>0</v>
      </c>
      <c r="L27" s="96"/>
      <c r="AJ27" s="151"/>
      <c r="AK27" s="315"/>
      <c r="AL27" s="152">
        <f>$O$101</f>
      </c>
      <c r="AM27" s="153">
        <f>$P$101</f>
      </c>
      <c r="AN27" s="153">
        <f>$Q$101</f>
      </c>
      <c r="AO27" s="154">
        <f>$R$101</f>
      </c>
      <c r="AP27" s="153">
        <f>$S$101</f>
      </c>
      <c r="AQ27" s="155">
        <f>$T$101</f>
      </c>
      <c r="AS27" s="151"/>
      <c r="AT27" s="315"/>
      <c r="AU27" s="152">
        <f>$V$72</f>
      </c>
      <c r="AV27" s="153">
        <f>$W$72</f>
      </c>
      <c r="AW27" s="153">
        <f>$X$72</f>
      </c>
      <c r="AX27" s="154">
        <f>$Y$72</f>
      </c>
      <c r="AY27" s="153">
        <f>$Z$72</f>
      </c>
      <c r="AZ27" s="155">
        <f>$AA$72</f>
      </c>
      <c r="BB27" s="151"/>
      <c r="BC27" s="315"/>
      <c r="BD27" s="152">
        <f>$AC$101</f>
      </c>
      <c r="BE27" s="153">
        <f>$AD$101</f>
      </c>
      <c r="BF27" s="153">
        <f>$AE$101</f>
      </c>
      <c r="BG27" s="154">
        <f>$AF$101</f>
      </c>
      <c r="BH27" s="153">
        <f>$AG$101</f>
      </c>
      <c r="BI27" s="155">
        <f>$AH$101</f>
      </c>
    </row>
    <row r="28" spans="2:63" s="90" customFormat="1" ht="11.25" customHeight="1">
      <c r="B28" s="179"/>
      <c r="G28" s="179">
        <f>SUM(G22:G27)</f>
        <v>142</v>
      </c>
      <c r="N28" s="133"/>
      <c r="O28" s="135"/>
      <c r="P28" s="133"/>
      <c r="Q28" s="133"/>
      <c r="R28" s="133"/>
      <c r="S28" s="133"/>
      <c r="T28" s="133"/>
      <c r="U28" s="136"/>
      <c r="V28" s="135"/>
      <c r="W28" s="133"/>
      <c r="X28" s="133"/>
      <c r="Y28" s="133"/>
      <c r="Z28" s="133"/>
      <c r="AA28" s="133"/>
      <c r="AB28" s="136"/>
      <c r="AC28" s="135"/>
      <c r="AD28" s="133"/>
      <c r="AE28" s="133"/>
      <c r="AF28" s="133"/>
      <c r="AG28" s="133"/>
      <c r="AH28" s="133"/>
      <c r="AI28" s="132"/>
      <c r="AJ28" s="151"/>
      <c r="AK28" s="315"/>
      <c r="AL28" s="152">
        <f>$O$45</f>
      </c>
      <c r="AM28" s="153">
        <f>$P$45</f>
      </c>
      <c r="AN28" s="153">
        <f>$Q$45</f>
      </c>
      <c r="AO28" s="154">
        <f>$R$45</f>
      </c>
      <c r="AP28" s="153">
        <f>$S$45</f>
      </c>
      <c r="AQ28" s="155">
        <f>$T$45</f>
      </c>
      <c r="AR28" s="132"/>
      <c r="AS28" s="151"/>
      <c r="AT28" s="315"/>
      <c r="AU28" s="152">
        <f>$V$44</f>
      </c>
      <c r="AV28" s="153">
        <f>$W$44</f>
      </c>
      <c r="AW28" s="153">
        <f>$X$44</f>
      </c>
      <c r="AX28" s="154">
        <f>$Y$44</f>
      </c>
      <c r="AY28" s="153">
        <f>$Z$44</f>
      </c>
      <c r="AZ28" s="155">
        <f>$AA$44</f>
      </c>
      <c r="BA28" s="136"/>
      <c r="BB28" s="151"/>
      <c r="BC28" s="315"/>
      <c r="BD28" s="152">
        <f>$AC$114</f>
      </c>
      <c r="BE28" s="153">
        <f>$AD$114</f>
      </c>
      <c r="BF28" s="153">
        <f>$AE$114</f>
      </c>
      <c r="BG28" s="154">
        <f>$AF$114</f>
      </c>
      <c r="BH28" s="153">
        <f>$AG$114</f>
      </c>
      <c r="BI28" s="155">
        <f>$AH$114</f>
      </c>
      <c r="BJ28" s="136"/>
      <c r="BK28" s="89"/>
    </row>
    <row r="29" spans="2:61" ht="12.75" thickBot="1">
      <c r="B29" s="179" t="s">
        <v>271</v>
      </c>
      <c r="D29" s="119" t="s">
        <v>268</v>
      </c>
      <c r="E29" s="110" t="str">
        <f>C22</f>
        <v>C</v>
      </c>
      <c r="F29" s="89" t="s">
        <v>262</v>
      </c>
      <c r="G29" s="89" t="s">
        <v>263</v>
      </c>
      <c r="H29" s="89" t="s">
        <v>264</v>
      </c>
      <c r="I29" s="89" t="s">
        <v>309</v>
      </c>
      <c r="J29" s="89" t="s">
        <v>266</v>
      </c>
      <c r="K29" s="89" t="s">
        <v>301</v>
      </c>
      <c r="L29" s="89" t="s">
        <v>269</v>
      </c>
      <c r="M29" s="109" t="s">
        <v>272</v>
      </c>
      <c r="N29" s="133" t="s">
        <v>270</v>
      </c>
      <c r="AJ29" s="151"/>
      <c r="AK29" s="315"/>
      <c r="AL29" s="152">
        <f>$O$17</f>
      </c>
      <c r="AM29" s="153">
        <f>$P$17</f>
      </c>
      <c r="AN29" s="153">
        <f>$Q$17</f>
      </c>
      <c r="AO29" s="154">
        <f>$R$17</f>
      </c>
      <c r="AP29" s="153">
        <f>$S$17</f>
      </c>
      <c r="AQ29" s="155">
        <f>$T$17</f>
      </c>
      <c r="AS29" s="151"/>
      <c r="AT29" s="315"/>
      <c r="AU29" s="152">
        <f>$V$100</f>
      </c>
      <c r="AV29" s="153">
        <f>$W$100</f>
      </c>
      <c r="AW29" s="153">
        <f>$X$100</f>
      </c>
      <c r="AX29" s="154">
        <f>$Y$100</f>
      </c>
      <c r="AY29" s="153">
        <f>$Z$100</f>
      </c>
      <c r="AZ29" s="155">
        <f>$AA$100</f>
      </c>
      <c r="BB29" s="151"/>
      <c r="BC29" s="315"/>
      <c r="BD29" s="152">
        <f>$AC$115</f>
      </c>
      <c r="BE29" s="153">
        <f>$AD$115</f>
      </c>
      <c r="BF29" s="153">
        <f>$AE$115</f>
      </c>
      <c r="BG29" s="154">
        <f>$AF$115</f>
      </c>
      <c r="BH29" s="153">
        <f>$AG$115</f>
      </c>
      <c r="BI29" s="155">
        <f>$AH$115</f>
      </c>
    </row>
    <row r="30" spans="2:61" ht="18" thickTop="1">
      <c r="B30" s="179">
        <f>N30</f>
        <v>1</v>
      </c>
      <c r="C30" s="179" t="s">
        <v>70</v>
      </c>
      <c r="D30" s="91">
        <v>19</v>
      </c>
      <c r="E30" s="93">
        <v>1</v>
      </c>
      <c r="F30" s="92" t="str">
        <f>IF(D30="","",VLOOKUP(D30,'Ranquing Inicial'!$B$6:$V$69,2,0))</f>
        <v>FRANCISCO HERNÁNDEZ HERNÁNDEZ</v>
      </c>
      <c r="G30" s="93">
        <f>SUM(G24,G26)</f>
        <v>57</v>
      </c>
      <c r="H30" s="93">
        <f>SUM(H24,H26)</f>
        <v>88</v>
      </c>
      <c r="I30" s="111">
        <f>IF(H30="","",G30/H30)</f>
        <v>0.6477272727272727</v>
      </c>
      <c r="J30" s="93">
        <f>MAX(J24,J26)</f>
        <v>4</v>
      </c>
      <c r="K30" s="95">
        <f>SUM(K24,K26)</f>
        <v>4</v>
      </c>
      <c r="L30" s="200" t="str">
        <f>IF(ISERROR(I30),"",N30&amp;"º")</f>
        <v>1º</v>
      </c>
      <c r="M30" s="112">
        <f>IF(ISERROR(I30),"",SUM(K30,I30/1000,J30/1000000))</f>
        <v>4.000651727272727</v>
      </c>
      <c r="N30" s="133">
        <f>IF(ISERROR(I30),"",RANK(M30,M30:M32))</f>
        <v>1</v>
      </c>
      <c r="O30" s="137" t="str">
        <f>IF(N30=1,VLOOKUP(1,B30:K32,5,0),"")</f>
        <v>FRANCISCO HERNÁNDEZ HERNÁNDEZ</v>
      </c>
      <c r="P30" s="138">
        <f>IF(N30=1,VLOOKUP(1,B30:K32,6,0),"")</f>
        <v>57</v>
      </c>
      <c r="Q30" s="138">
        <f>IF(N30=1,VLOOKUP(1,B30:K32,7,0),"")</f>
        <v>88</v>
      </c>
      <c r="R30" s="139">
        <f>IF(N30=1,VLOOKUP(1,B30:K32,8,0),"")</f>
        <v>0.6477272727272727</v>
      </c>
      <c r="S30" s="138">
        <f>IF(N30=1,VLOOKUP(1,B30:K32,9,0),"")</f>
        <v>4</v>
      </c>
      <c r="T30" s="138">
        <f>IF(N30=1,VLOOKUP(1,B30:K32,10,0),"")</f>
        <v>4</v>
      </c>
      <c r="V30" s="137">
        <f>IF(N30=2,VLOOKUP(2,B30:K32,5,0),"")</f>
      </c>
      <c r="W30" s="138">
        <f>IF(N30=2,VLOOKUP(2,B30:K32,6,0),"")</f>
      </c>
      <c r="X30" s="138">
        <f>IF(N30=2,VLOOKUP(2,B30:K32,7,0),"")</f>
      </c>
      <c r="Y30" s="139">
        <f>IF(N30=2,VLOOKUP(2,B30:K32,8,0),"")</f>
      </c>
      <c r="Z30" s="138">
        <f>IF(N30=2,VLOOKUP(2,B30:K32,9,0),"")</f>
      </c>
      <c r="AA30" s="138">
        <f>IF(N30=2,VLOOKUP(2,$B$16:$K$18,10,0),"")</f>
      </c>
      <c r="AC30" s="135">
        <f>IF(N30=3,VLOOKUP(3,B30:K32,5,0),"")</f>
      </c>
      <c r="AD30" s="138">
        <f>IF(N30=3,VLOOKUP(3,B30:K32,6,0),"")</f>
      </c>
      <c r="AE30" s="138">
        <f>IF(N30=3,VLOOKUP(3,B30:K32,7,0),"")</f>
      </c>
      <c r="AF30" s="139">
        <f>IF(N30=3,VLOOKUP(3,B30:K32,8,0),"")</f>
      </c>
      <c r="AG30" s="138">
        <f>IF(N30=3,VLOOKUP(3,B30:K32,9,0),"")</f>
      </c>
      <c r="AH30" s="138">
        <f>IF(N30=3,VLOOKUP(3,B30:K32,10,0),"")</f>
      </c>
      <c r="AJ30" s="151"/>
      <c r="AK30" s="315"/>
      <c r="AL30" s="152">
        <f>$O$73</f>
      </c>
      <c r="AM30" s="153">
        <f>$P$73</f>
      </c>
      <c r="AN30" s="153">
        <f>$Q$73</f>
      </c>
      <c r="AO30" s="154">
        <f>$R$73</f>
      </c>
      <c r="AP30" s="153">
        <f>$S$73</f>
      </c>
      <c r="AQ30" s="155">
        <f>$T$73</f>
      </c>
      <c r="AS30" s="151"/>
      <c r="AT30" s="315"/>
      <c r="AU30" s="152">
        <f>$V$32</f>
      </c>
      <c r="AV30" s="153">
        <f>$W$32</f>
      </c>
      <c r="AW30" s="153">
        <f>$X$32</f>
      </c>
      <c r="AX30" s="154">
        <f>$Y$32</f>
      </c>
      <c r="AY30" s="153">
        <f>$Z$32</f>
      </c>
      <c r="AZ30" s="155">
        <f>$AA$32</f>
      </c>
      <c r="BB30" s="151"/>
      <c r="BC30" s="315"/>
      <c r="BD30" s="152">
        <f>$AC$30</f>
      </c>
      <c r="BE30" s="153">
        <f>$AD$30</f>
      </c>
      <c r="BF30" s="153">
        <f>$AE$30</f>
      </c>
      <c r="BG30" s="154">
        <f>$AF$30</f>
      </c>
      <c r="BH30" s="153">
        <f>$AG$30</f>
      </c>
      <c r="BI30" s="155">
        <f>$AH$30</f>
      </c>
    </row>
    <row r="31" spans="2:61" ht="16.5">
      <c r="B31" s="179">
        <f>N31</f>
        <v>2</v>
      </c>
      <c r="C31" s="179" t="s">
        <v>71</v>
      </c>
      <c r="D31" s="113">
        <v>46</v>
      </c>
      <c r="E31" s="114">
        <v>2</v>
      </c>
      <c r="F31" s="115" t="str">
        <f>IF(D31="","",VLOOKUP(D31,'Ranquing Inicial'!$B$6:$V$69,2,0))</f>
        <v>ENRIC AGUILAR FAYÓS</v>
      </c>
      <c r="G31" s="114">
        <f>SUM(G22,G25)</f>
        <v>52</v>
      </c>
      <c r="H31" s="114">
        <f>SUM(H22,H24)</f>
        <v>83</v>
      </c>
      <c r="I31" s="116">
        <f>IF(H31="","",G31/H31)</f>
        <v>0.6265060240963856</v>
      </c>
      <c r="J31" s="114">
        <f>MAX(J22,J25)</f>
        <v>3</v>
      </c>
      <c r="K31" s="117">
        <f>SUM(K22,K25)</f>
        <v>2</v>
      </c>
      <c r="L31" s="199" t="str">
        <f>IF(ISERROR(I31),"",N31&amp;"º")</f>
        <v>2º</v>
      </c>
      <c r="M31" s="112">
        <f>IF(ISERROR(I31),"",SUM(K31,I31/1000,J31/1000000))</f>
        <v>2.0006295060240964</v>
      </c>
      <c r="N31" s="133">
        <f>IF(ISERROR(I31),"",RANK(M31,M30:M32))</f>
        <v>2</v>
      </c>
      <c r="O31" s="137">
        <f>IF(N31=1,VLOOKUP(1,B30:K32,5,0),"")</f>
      </c>
      <c r="P31" s="138">
        <f>IF(N31=1,VLOOKUP(1,B30:K32,6,0),"")</f>
      </c>
      <c r="Q31" s="138">
        <f>IF(N31=1,VLOOKUP(1,B30:K32,7,0),"")</f>
      </c>
      <c r="R31" s="139">
        <f>IF(N31=1,VLOOKUP(1,B30:K32,8,0),"")</f>
      </c>
      <c r="S31" s="138">
        <f>IF(N31=1,VLOOKUP(1,B30:K32,9,0),"")</f>
      </c>
      <c r="T31" s="138">
        <f>IF(N31=1,VLOOKUP(1,B30:K32,10,0),"")</f>
      </c>
      <c r="V31" s="137" t="str">
        <f>IF(N31=2,VLOOKUP(2,B30:K32,5,0),"")</f>
        <v>ENRIC AGUILAR FAYÓS</v>
      </c>
      <c r="W31" s="138">
        <f>IF(N31=2,VLOOKUP(2,B30:K32,6,0),"")</f>
        <v>52</v>
      </c>
      <c r="X31" s="138">
        <f>IF(N31=2,VLOOKUP(2,B30:K32,7,0),"")</f>
        <v>83</v>
      </c>
      <c r="Y31" s="139">
        <f>IF(N31=2,VLOOKUP(2,B30:$K32,8,0),"")</f>
        <v>0.6265060240963856</v>
      </c>
      <c r="Z31" s="138">
        <f>IF(N31=2,VLOOKUP(2,B30:K32,9,0),"")</f>
        <v>3</v>
      </c>
      <c r="AA31" s="138">
        <f>IF(N31=2,VLOOKUP(2,B30:K32,10,0),"")</f>
        <v>2</v>
      </c>
      <c r="AC31" s="135">
        <f>IF(N31=3,VLOOKUP(3,B30:K32,5,0),"")</f>
      </c>
      <c r="AD31" s="138">
        <f>IF(N31=3,VLOOKUP(3,B30:K32,6,0),"")</f>
      </c>
      <c r="AE31" s="138">
        <f>IF(N31=3,VLOOKUP(3,B30:K32,7,0),"")</f>
      </c>
      <c r="AF31" s="139">
        <f>IF(N31=3,VLOOKUP(3,B30:K32,8,0),"")</f>
      </c>
      <c r="AG31" s="138">
        <f>IF(N31=3,VLOOKUP(3,B30:K32,9,0),"")</f>
      </c>
      <c r="AH31" s="138">
        <f>IF(N31=3,VLOOKUP(3,B30:K32,10,0),"")</f>
      </c>
      <c r="AJ31" s="151"/>
      <c r="AK31" s="315"/>
      <c r="AL31" s="152">
        <f>$O$31</f>
      </c>
      <c r="AM31" s="153">
        <f>$P$31</f>
      </c>
      <c r="AN31" s="153">
        <f>$Q$31</f>
      </c>
      <c r="AO31" s="154">
        <f>$R$31</f>
      </c>
      <c r="AP31" s="153">
        <f>$S$31</f>
      </c>
      <c r="AQ31" s="155">
        <f>$T$31</f>
      </c>
      <c r="AS31" s="151"/>
      <c r="AT31" s="315"/>
      <c r="AU31" s="152">
        <f>$V$88</f>
      </c>
      <c r="AV31" s="153">
        <f>$W$88</f>
      </c>
      <c r="AW31" s="153">
        <f>$X$88</f>
      </c>
      <c r="AX31" s="154">
        <f>$Y$88</f>
      </c>
      <c r="AY31" s="153">
        <f>$Z$88</f>
      </c>
      <c r="AZ31" s="155">
        <f>$AA$88</f>
      </c>
      <c r="BB31" s="151"/>
      <c r="BC31" s="315"/>
      <c r="BD31" s="152">
        <f>$AC$86</f>
      </c>
      <c r="BE31" s="153">
        <f>$AD$86</f>
      </c>
      <c r="BF31" s="153">
        <f>$AE$86</f>
      </c>
      <c r="BG31" s="154">
        <f>$AF$86</f>
      </c>
      <c r="BH31" s="153">
        <f>$AG$86</f>
      </c>
      <c r="BI31" s="155">
        <f>$AH$86</f>
      </c>
    </row>
    <row r="32" spans="2:61" ht="18" thickBot="1">
      <c r="B32" s="179">
        <f>N32</f>
        <v>3</v>
      </c>
      <c r="C32" s="179" t="s">
        <v>73</v>
      </c>
      <c r="D32" s="102">
        <v>62</v>
      </c>
      <c r="E32" s="106">
        <v>3</v>
      </c>
      <c r="F32" s="103" t="str">
        <f>IF(D32="","",VLOOKUP(D32,'Ranquing Inicial'!$B$6:$V$69,2,0))</f>
        <v>LLORENÇ BADÍA BOSQUE</v>
      </c>
      <c r="G32" s="106">
        <f>SUM(G23,G27)</f>
        <v>33</v>
      </c>
      <c r="H32" s="106">
        <f>SUM(H22,H26)</f>
        <v>95</v>
      </c>
      <c r="I32" s="118">
        <f>IF(H32="","",G32/H32)</f>
        <v>0.3473684210526316</v>
      </c>
      <c r="J32" s="106">
        <f>MAX(J23,J27)</f>
        <v>3</v>
      </c>
      <c r="K32" s="108">
        <f>SUM(K23,K27)</f>
        <v>0</v>
      </c>
      <c r="L32" s="201" t="str">
        <f>IF(ISERROR(I32),"",N32&amp;"º")</f>
        <v>3º</v>
      </c>
      <c r="M32" s="112">
        <f>IF(ISERROR(I32),"",SUM(K32,I32/1000,J32/1000000))</f>
        <v>0.0003503684210526316</v>
      </c>
      <c r="N32" s="133">
        <f>IF(ISERROR(I32),"",RANK(M32,M30:M32))</f>
        <v>3</v>
      </c>
      <c r="O32" s="137">
        <f>IF(N32=1,VLOOKUP(1,B30:K32,5,0),"")</f>
      </c>
      <c r="P32" s="138">
        <f>IF(N32=1,VLOOKUP(1,B30:K32,6,0),"")</f>
      </c>
      <c r="Q32" s="138">
        <f>IF(N32=1,VLOOKUP(1,B30:K32,7,0),"")</f>
      </c>
      <c r="R32" s="139">
        <f>IF(N32=1,VLOOKUP(1,B30:K32,8,0),"")</f>
      </c>
      <c r="S32" s="138">
        <f>IF(N32=1,VLOOKUP(1,B30:K32,9,0),"")</f>
      </c>
      <c r="T32" s="138">
        <f>IF(N32=1,VLOOKUP(1,B30:K32,10,0),"")</f>
      </c>
      <c r="V32" s="135">
        <f>IF(N32=2,VLOOKUP(2,B30:K32,5,0),"")</f>
      </c>
      <c r="W32" s="138">
        <f>IF(N32=2,VLOOKUP(2,B30:K32,6,0),"")</f>
      </c>
      <c r="X32" s="138">
        <f>IF(N32=2,VLOOKUP(2,B30:K32,7,0),"")</f>
      </c>
      <c r="Y32" s="139">
        <f>IF(N32=2,VLOOKUP(2,B30:K32,8,0),"")</f>
      </c>
      <c r="Z32" s="138">
        <f>IF(N32=2,VLOOKUP(2,B30:K32,9,0),"")</f>
      </c>
      <c r="AA32" s="138">
        <f>IF(N32=2,VLOOKUP(2,B30:K32,10,0),"")</f>
      </c>
      <c r="AC32" s="135" t="str">
        <f>IF(N32=3,VLOOKUP(3,B30:K32,5,0),"")</f>
        <v>LLORENÇ BADÍA BOSQUE</v>
      </c>
      <c r="AD32" s="138">
        <f>IF(N32=3,VLOOKUP(3,B30:K32,6,0),"")</f>
        <v>33</v>
      </c>
      <c r="AE32" s="138">
        <f>IF(N32=3,VLOOKUP(3,B30:K32,7,0),"")</f>
        <v>95</v>
      </c>
      <c r="AF32" s="139">
        <f>IF(N32=3,VLOOKUP(3,B30:K32,8,0),"")</f>
        <v>0.3473684210526316</v>
      </c>
      <c r="AG32" s="138">
        <f>IF(N32=3,VLOOKUP(3,B30:K32,9,0),"")</f>
        <v>3</v>
      </c>
      <c r="AH32" s="138">
        <f>IF(N32=3,VLOOKUP(3,B30:K32,10,0),"")</f>
        <v>0</v>
      </c>
      <c r="AJ32" s="151"/>
      <c r="AK32" s="315">
        <v>1</v>
      </c>
      <c r="AL32" s="152" t="str">
        <f>$O$16</f>
        <v>RICARD FIOL MESZAROS</v>
      </c>
      <c r="AM32" s="153">
        <f>$P$16</f>
        <v>59</v>
      </c>
      <c r="AN32" s="153">
        <f>$Q$16</f>
        <v>71</v>
      </c>
      <c r="AO32" s="154">
        <f>$R$16</f>
        <v>0.8309859154929577</v>
      </c>
      <c r="AP32" s="153">
        <f>$S$16</f>
        <v>6</v>
      </c>
      <c r="AQ32" s="155">
        <f>$T$16</f>
        <v>4</v>
      </c>
      <c r="AS32" s="151"/>
      <c r="AT32" s="315">
        <v>1</v>
      </c>
      <c r="AU32" s="152" t="str">
        <f>$V$101</f>
        <v>MIGUEL SÁNCHEZ BARRERA</v>
      </c>
      <c r="AV32" s="153">
        <f>$W$101</f>
        <v>59</v>
      </c>
      <c r="AW32" s="153">
        <f>$X$101</f>
        <v>91</v>
      </c>
      <c r="AX32" s="154">
        <f>$Y$101</f>
        <v>0.6483516483516484</v>
      </c>
      <c r="AY32" s="153">
        <f>$Z$101</f>
        <v>5</v>
      </c>
      <c r="AZ32" s="155">
        <f>$AA$101</f>
        <v>2</v>
      </c>
      <c r="BB32" s="151"/>
      <c r="BC32" s="315">
        <v>1</v>
      </c>
      <c r="BD32" s="152" t="str">
        <f>$AC$116</f>
        <v>DAVID FIOL ALONSO</v>
      </c>
      <c r="BE32" s="153">
        <f>$AD$116</f>
        <v>43</v>
      </c>
      <c r="BF32" s="153">
        <f>$AE$116</f>
        <v>92</v>
      </c>
      <c r="BG32" s="154">
        <f>$AF$116</f>
        <v>0.4673913043478261</v>
      </c>
      <c r="BH32" s="153">
        <f>$AG$116</f>
        <v>5</v>
      </c>
      <c r="BI32" s="155">
        <f>$AH$116</f>
        <v>0</v>
      </c>
    </row>
    <row r="33" spans="2:62" s="90" customFormat="1" ht="12.75" customHeight="1" thickTop="1">
      <c r="B33" s="179"/>
      <c r="I33" s="180">
        <f>MAX(I30:I32)</f>
        <v>0.6477272727272727</v>
      </c>
      <c r="J33" s="179"/>
      <c r="K33" s="179">
        <f>SUM(K30:K32)</f>
        <v>6</v>
      </c>
      <c r="L33" s="179" t="e">
        <f>MODE(K30:K32)</f>
        <v>#N/A</v>
      </c>
      <c r="N33" s="133"/>
      <c r="O33" s="135"/>
      <c r="P33" s="133"/>
      <c r="Q33" s="133"/>
      <c r="R33" s="133"/>
      <c r="S33" s="133"/>
      <c r="T33" s="133"/>
      <c r="U33" s="136"/>
      <c r="V33" s="135"/>
      <c r="W33" s="133"/>
      <c r="X33" s="133"/>
      <c r="Y33" s="133"/>
      <c r="Z33" s="133"/>
      <c r="AA33" s="133"/>
      <c r="AB33" s="136"/>
      <c r="AC33" s="135"/>
      <c r="AD33" s="133"/>
      <c r="AE33" s="133"/>
      <c r="AF33" s="133"/>
      <c r="AG33" s="133"/>
      <c r="AH33" s="133"/>
      <c r="AI33" s="132"/>
      <c r="AJ33" s="151"/>
      <c r="AK33" s="315">
        <v>2</v>
      </c>
      <c r="AL33" s="152" t="str">
        <f>$O$72</f>
        <v>RAFAEL SOTO SEGURA</v>
      </c>
      <c r="AM33" s="153">
        <f>$P$72</f>
        <v>57</v>
      </c>
      <c r="AN33" s="153">
        <f>$Q$72</f>
        <v>81</v>
      </c>
      <c r="AO33" s="154">
        <f>$R$72</f>
        <v>0.7037037037037037</v>
      </c>
      <c r="AP33" s="153">
        <f>$S$72</f>
        <v>6</v>
      </c>
      <c r="AQ33" s="155">
        <f>$T$72</f>
        <v>4</v>
      </c>
      <c r="AR33" s="132"/>
      <c r="AS33" s="151"/>
      <c r="AT33" s="315">
        <v>2</v>
      </c>
      <c r="AU33" s="152" t="str">
        <f>$V$31</f>
        <v>ENRIC AGUILAR FAYÓS</v>
      </c>
      <c r="AV33" s="153">
        <f>$W$31</f>
        <v>52</v>
      </c>
      <c r="AW33" s="153">
        <f>$X$31</f>
        <v>83</v>
      </c>
      <c r="AX33" s="154">
        <f>$Y$31</f>
        <v>0.6265060240963856</v>
      </c>
      <c r="AY33" s="153">
        <f>$Z$31</f>
        <v>3</v>
      </c>
      <c r="AZ33" s="155">
        <f>$AA$31</f>
        <v>2</v>
      </c>
      <c r="BA33" s="136"/>
      <c r="BB33" s="151"/>
      <c r="BC33" s="315">
        <v>2</v>
      </c>
      <c r="BD33" s="152" t="str">
        <f>$AC$46</f>
        <v>ANTONIO GARCÍA GÓMEZ</v>
      </c>
      <c r="BE33" s="153">
        <f>$AD$46</f>
        <v>46</v>
      </c>
      <c r="BF33" s="153">
        <f>$AE$46</f>
        <v>100</v>
      </c>
      <c r="BG33" s="154">
        <f>$AF$46</f>
        <v>0.46</v>
      </c>
      <c r="BH33" s="153">
        <f>$AG$46</f>
        <v>3</v>
      </c>
      <c r="BI33" s="155">
        <f>$AH$46</f>
        <v>0</v>
      </c>
      <c r="BJ33" s="136"/>
    </row>
    <row r="34" spans="36:61" ht="12">
      <c r="AJ34" s="151"/>
      <c r="AK34" s="315">
        <v>3</v>
      </c>
      <c r="AL34" s="152" t="str">
        <f>$O$114</f>
        <v>MANEL LOZANO HERRERO</v>
      </c>
      <c r="AM34" s="153">
        <f>$P$114</f>
        <v>60</v>
      </c>
      <c r="AN34" s="153">
        <f>$Q$114</f>
        <v>88</v>
      </c>
      <c r="AO34" s="154">
        <f>$R$114</f>
        <v>0.6818181818181818</v>
      </c>
      <c r="AP34" s="153">
        <f>$S$114</f>
        <v>5</v>
      </c>
      <c r="AQ34" s="155">
        <f>$T$114</f>
        <v>4</v>
      </c>
      <c r="AS34" s="151"/>
      <c r="AT34" s="315">
        <v>3</v>
      </c>
      <c r="AU34" s="152" t="str">
        <f>$V$115</f>
        <v>JOAN ANTONI NAVARRO CARMONA</v>
      </c>
      <c r="AV34" s="153">
        <f>$W$115</f>
        <v>47</v>
      </c>
      <c r="AW34" s="153">
        <f>$X$115</f>
        <v>80</v>
      </c>
      <c r="AX34" s="154">
        <f>$Y$115</f>
        <v>0.5875</v>
      </c>
      <c r="AY34" s="153">
        <f>$Z$115</f>
        <v>4</v>
      </c>
      <c r="AZ34" s="155">
        <f>$AA$115</f>
        <v>2</v>
      </c>
      <c r="BB34" s="151"/>
      <c r="BC34" s="315">
        <v>3</v>
      </c>
      <c r="BD34" s="152" t="str">
        <f>$AC$102</f>
        <v>JAUME BERNAD DAZA</v>
      </c>
      <c r="BE34" s="153">
        <f>$AD$102</f>
        <v>40</v>
      </c>
      <c r="BF34" s="153">
        <f>$AE$102</f>
        <v>93</v>
      </c>
      <c r="BG34" s="154">
        <f>$AF$102</f>
        <v>0.43010752688172044</v>
      </c>
      <c r="BH34" s="153">
        <f>$AG$102</f>
        <v>4</v>
      </c>
      <c r="BI34" s="155">
        <f>$AH$102</f>
        <v>0</v>
      </c>
    </row>
    <row r="35" spans="6:61" ht="12.75" thickBot="1">
      <c r="F35" s="89" t="s">
        <v>262</v>
      </c>
      <c r="G35" s="89" t="s">
        <v>263</v>
      </c>
      <c r="H35" s="89" t="s">
        <v>264</v>
      </c>
      <c r="I35" s="89" t="s">
        <v>309</v>
      </c>
      <c r="J35" s="89" t="s">
        <v>266</v>
      </c>
      <c r="K35" s="89" t="s">
        <v>301</v>
      </c>
      <c r="AJ35" s="151"/>
      <c r="AK35" s="315">
        <v>4</v>
      </c>
      <c r="AL35" s="152" t="str">
        <f>$O$100</f>
        <v>JUAN ROJALS VALLS</v>
      </c>
      <c r="AM35" s="153">
        <f>$P$100</f>
        <v>60</v>
      </c>
      <c r="AN35" s="153">
        <f>$Q$100</f>
        <v>88</v>
      </c>
      <c r="AO35" s="154">
        <f>$R$100</f>
        <v>0.6818181818181818</v>
      </c>
      <c r="AP35" s="153">
        <f>$S$100</f>
        <v>4</v>
      </c>
      <c r="AQ35" s="155">
        <f>$T$100</f>
        <v>4</v>
      </c>
      <c r="AS35" s="151"/>
      <c r="AT35" s="315">
        <v>4</v>
      </c>
      <c r="AU35" s="152" t="str">
        <f>$V$45</f>
        <v>RICARDO GARCÍA ZALDÍVAR</v>
      </c>
      <c r="AV35" s="153">
        <f>$W$45</f>
        <v>51</v>
      </c>
      <c r="AW35" s="153">
        <f>$X$45</f>
        <v>89</v>
      </c>
      <c r="AX35" s="154">
        <f>$Y$45</f>
        <v>0.5730337078651685</v>
      </c>
      <c r="AY35" s="153">
        <f>$Z$45</f>
        <v>3</v>
      </c>
      <c r="AZ35" s="155">
        <f>$AA$45</f>
        <v>2</v>
      </c>
      <c r="BB35" s="151"/>
      <c r="BC35" s="315">
        <v>4</v>
      </c>
      <c r="BD35" s="152" t="str">
        <f>$AC$88</f>
        <v>ENRIC BAS PASTOR</v>
      </c>
      <c r="BE35" s="153">
        <f>$AD$88</f>
        <v>36</v>
      </c>
      <c r="BF35" s="153">
        <f>$AE$88</f>
        <v>90</v>
      </c>
      <c r="BG35" s="154">
        <f>$AF$88</f>
        <v>0.4</v>
      </c>
      <c r="BH35" s="153">
        <f>$AG$88</f>
        <v>4</v>
      </c>
      <c r="BI35" s="155">
        <f>$AH$88</f>
        <v>0</v>
      </c>
    </row>
    <row r="36" spans="3:61" ht="15.75" customHeight="1" thickTop="1">
      <c r="C36" s="636" t="str">
        <f>'Fase Grups'!J5</f>
        <v>F</v>
      </c>
      <c r="D36" s="123">
        <f>'Fase Grups'!B13</f>
        <v>0.3958333333333333</v>
      </c>
      <c r="E36" s="91" t="s">
        <v>82</v>
      </c>
      <c r="F36" s="92" t="str">
        <f aca="true" t="shared" si="2" ref="F36:F41">VLOOKUP(E36,$C$44:$F$46,4,1)</f>
        <v>RICARDO GARCÍA ZALDÍVAR</v>
      </c>
      <c r="G36" s="93">
        <v>29</v>
      </c>
      <c r="H36" s="639">
        <v>50</v>
      </c>
      <c r="I36" s="94">
        <f>IF(H36="","",G36/H36)</f>
        <v>0.58</v>
      </c>
      <c r="J36" s="93">
        <v>3</v>
      </c>
      <c r="K36" s="95">
        <f>IF(H36="","",IF(G36&lt;G37,0,IF(G36&gt;G37,2,1)))</f>
        <v>2</v>
      </c>
      <c r="L36" s="96"/>
      <c r="AJ36" s="151"/>
      <c r="AK36" s="315">
        <v>5</v>
      </c>
      <c r="AL36" s="152" t="str">
        <f>$O$30</f>
        <v>FRANCISCO HERNÁNDEZ HERNÁNDEZ</v>
      </c>
      <c r="AM36" s="153">
        <f>$P$30</f>
        <v>57</v>
      </c>
      <c r="AN36" s="153">
        <f>$Q$30</f>
        <v>88</v>
      </c>
      <c r="AO36" s="154">
        <f>$R$30</f>
        <v>0.6477272727272727</v>
      </c>
      <c r="AP36" s="153">
        <f>$S$30</f>
        <v>4</v>
      </c>
      <c r="AQ36" s="155">
        <f>$T$30</f>
        <v>4</v>
      </c>
      <c r="AS36" s="151"/>
      <c r="AT36" s="315">
        <v>5</v>
      </c>
      <c r="AU36" s="152" t="str">
        <f>$V$86</f>
        <v>JORDI OLIVER SINCA</v>
      </c>
      <c r="AV36" s="153">
        <f>$W$86</f>
        <v>52</v>
      </c>
      <c r="AW36" s="153">
        <f>$X$86</f>
        <v>94</v>
      </c>
      <c r="AX36" s="154">
        <f>$Y$86</f>
        <v>0.5531914893617021</v>
      </c>
      <c r="AY36" s="153">
        <f>$Z$86</f>
        <v>6</v>
      </c>
      <c r="AZ36" s="155">
        <f>$AA$86</f>
        <v>2</v>
      </c>
      <c r="BB36" s="151"/>
      <c r="BC36" s="315">
        <v>5</v>
      </c>
      <c r="BD36" s="152" t="str">
        <f>$AC$74</f>
        <v>ANTONI ROSES GUITART</v>
      </c>
      <c r="BE36" s="153">
        <f>$AD$74</f>
        <v>32</v>
      </c>
      <c r="BF36" s="153">
        <f>$AE$74</f>
        <v>81</v>
      </c>
      <c r="BG36" s="154">
        <f>$AF$74</f>
        <v>0.3950617283950617</v>
      </c>
      <c r="BH36" s="153">
        <f>$AG$74</f>
        <v>4</v>
      </c>
      <c r="BI36" s="155">
        <f>$AH$74</f>
        <v>0</v>
      </c>
    </row>
    <row r="37" spans="3:61" ht="15.75" customHeight="1" thickBot="1">
      <c r="C37" s="637"/>
      <c r="D37" s="124" t="str">
        <f>CONCATENATE("Mesa ",'Fase Grups'!H12)</f>
        <v>Mesa 3</v>
      </c>
      <c r="E37" s="97" t="s">
        <v>83</v>
      </c>
      <c r="F37" s="98" t="str">
        <f t="shared" si="2"/>
        <v>ANTONIO GARCÍA GÓMEZ</v>
      </c>
      <c r="G37" s="99">
        <v>23</v>
      </c>
      <c r="H37" s="640"/>
      <c r="I37" s="100">
        <f>IF(H36="","",G37/H36)</f>
        <v>0.46</v>
      </c>
      <c r="J37" s="99">
        <v>3</v>
      </c>
      <c r="K37" s="101">
        <f>IF(H36="","",IF(G37&lt;G36,0,IF(G37&gt;G36,2,1)))</f>
        <v>0</v>
      </c>
      <c r="L37" s="96"/>
      <c r="AJ37" s="151"/>
      <c r="AK37" s="315">
        <v>6</v>
      </c>
      <c r="AL37" s="152" t="str">
        <f>$O$44</f>
        <v>ANTONIO GARCÍA SORIANO</v>
      </c>
      <c r="AM37" s="153">
        <f>$P$44</f>
        <v>57</v>
      </c>
      <c r="AN37" s="153">
        <f>$Q$44</f>
        <v>89</v>
      </c>
      <c r="AO37" s="154">
        <f>$R$44</f>
        <v>0.6404494382022472</v>
      </c>
      <c r="AP37" s="153">
        <f>$S$44</f>
        <v>6</v>
      </c>
      <c r="AQ37" s="155">
        <f>$T$44</f>
        <v>4</v>
      </c>
      <c r="AS37" s="151"/>
      <c r="AT37" s="315">
        <v>6</v>
      </c>
      <c r="AU37" s="152" t="str">
        <f>$V$17</f>
        <v>LINO BRIZZI</v>
      </c>
      <c r="AV37" s="153">
        <f>$W$17</f>
        <v>50</v>
      </c>
      <c r="AW37" s="153">
        <f>$X$17</f>
        <v>100</v>
      </c>
      <c r="AX37" s="154">
        <f>$Y$17</f>
        <v>0.5</v>
      </c>
      <c r="AY37" s="153">
        <f>$Z$17</f>
        <v>4</v>
      </c>
      <c r="AZ37" s="155">
        <f>$AA$17</f>
        <v>2</v>
      </c>
      <c r="BB37" s="151"/>
      <c r="BC37" s="315">
        <v>6</v>
      </c>
      <c r="BD37" s="152" t="str">
        <f>$AC$60</f>
        <v>JOAN HERNÁNDEZ MÁRQUEZ</v>
      </c>
      <c r="BE37" s="153">
        <f>$AD$60</f>
        <v>35</v>
      </c>
      <c r="BF37" s="153">
        <f>$AE$60</f>
        <v>100</v>
      </c>
      <c r="BG37" s="154">
        <f>$AF$60</f>
        <v>0.35</v>
      </c>
      <c r="BH37" s="153">
        <f>$AG$60</f>
        <v>4</v>
      </c>
      <c r="BI37" s="155">
        <f>$AH$60</f>
        <v>0</v>
      </c>
    </row>
    <row r="38" spans="3:61" ht="15.75" customHeight="1" thickTop="1">
      <c r="C38" s="637"/>
      <c r="D38" s="195">
        <v>0.7291666666666666</v>
      </c>
      <c r="E38" s="91" t="s">
        <v>81</v>
      </c>
      <c r="F38" s="92" t="str">
        <f t="shared" si="2"/>
        <v>ANTONIO GARCÍA SORIANO</v>
      </c>
      <c r="G38" s="93">
        <v>30</v>
      </c>
      <c r="H38" s="639">
        <v>39</v>
      </c>
      <c r="I38" s="94">
        <f>IF(H38="","",G38/H38)</f>
        <v>0.7692307692307693</v>
      </c>
      <c r="J38" s="93">
        <v>6</v>
      </c>
      <c r="K38" s="95">
        <f>IF(H38="","",IF(G38&lt;G39,0,IF(G38&gt;G39,2,1)))</f>
        <v>2</v>
      </c>
      <c r="L38" s="96"/>
      <c r="AJ38" s="151"/>
      <c r="AK38" s="315">
        <v>7</v>
      </c>
      <c r="AL38" s="152" t="str">
        <f>$O$58</f>
        <v>JOSÉ LUIS GONZÁLEZ SÁNCHEZ</v>
      </c>
      <c r="AM38" s="153">
        <f>$P$58</f>
        <v>58</v>
      </c>
      <c r="AN38" s="153">
        <f>$Q$58</f>
        <v>100</v>
      </c>
      <c r="AO38" s="154">
        <f>$R$58</f>
        <v>0.58</v>
      </c>
      <c r="AP38" s="153">
        <f>$S$58</f>
        <v>4</v>
      </c>
      <c r="AQ38" s="155">
        <f>$T$58</f>
        <v>4</v>
      </c>
      <c r="AS38" s="151"/>
      <c r="AT38" s="315">
        <v>7</v>
      </c>
      <c r="AU38" s="152" t="str">
        <f>$V$73</f>
        <v>MANUEL SOTOMAYOR PLATA</v>
      </c>
      <c r="AV38" s="153">
        <f>$W$73</f>
        <v>50</v>
      </c>
      <c r="AW38" s="153">
        <f>$X$73</f>
        <v>100</v>
      </c>
      <c r="AX38" s="154">
        <f>$Y$73</f>
        <v>0.5</v>
      </c>
      <c r="AY38" s="153">
        <f>$Z$73</f>
        <v>4</v>
      </c>
      <c r="AZ38" s="155">
        <f>$AA$73</f>
        <v>2</v>
      </c>
      <c r="BB38" s="151"/>
      <c r="BC38" s="315">
        <v>7</v>
      </c>
      <c r="BD38" s="152" t="str">
        <f>$AC$32</f>
        <v>LLORENÇ BADÍA BOSQUE</v>
      </c>
      <c r="BE38" s="153">
        <f>$AD$32</f>
        <v>33</v>
      </c>
      <c r="BF38" s="153">
        <f>$AE$32</f>
        <v>95</v>
      </c>
      <c r="BG38" s="154">
        <f>$AF$32</f>
        <v>0.3473684210526316</v>
      </c>
      <c r="BH38" s="153">
        <f>$AG$32</f>
        <v>3</v>
      </c>
      <c r="BI38" s="155">
        <f>$AH$32</f>
        <v>0</v>
      </c>
    </row>
    <row r="39" spans="3:61" ht="15.75" customHeight="1" thickBot="1">
      <c r="C39" s="637"/>
      <c r="D39" s="193" t="s">
        <v>308</v>
      </c>
      <c r="E39" s="102" t="s">
        <v>82</v>
      </c>
      <c r="F39" s="103" t="str">
        <f t="shared" si="2"/>
        <v>RICARDO GARCÍA ZALDÍVAR</v>
      </c>
      <c r="G39" s="99">
        <v>22</v>
      </c>
      <c r="H39" s="640"/>
      <c r="I39" s="100">
        <f>IF(H38="","",G39/H38)</f>
        <v>0.5641025641025641</v>
      </c>
      <c r="J39" s="99">
        <v>3</v>
      </c>
      <c r="K39" s="101">
        <f>IF(H38="","",IF(G39&lt;G38,0,IF(G39&gt;G38,2,1)))</f>
        <v>0</v>
      </c>
      <c r="L39" s="96"/>
      <c r="AJ39" s="156"/>
      <c r="AK39" s="316">
        <v>8</v>
      </c>
      <c r="AL39" s="157" t="str">
        <f>$O$87</f>
        <v>RAMÓN ARBIOL MORERA</v>
      </c>
      <c r="AM39" s="158">
        <f>$P$87</f>
        <v>54</v>
      </c>
      <c r="AN39" s="158">
        <f>$Q$87</f>
        <v>96</v>
      </c>
      <c r="AO39" s="159">
        <f>$R$87</f>
        <v>0.5625</v>
      </c>
      <c r="AP39" s="158">
        <f>$S$87</f>
        <v>4</v>
      </c>
      <c r="AQ39" s="160">
        <f>$T$87</f>
        <v>4</v>
      </c>
      <c r="AS39" s="156"/>
      <c r="AT39" s="316">
        <v>8</v>
      </c>
      <c r="AU39" s="157" t="str">
        <f>$V$59</f>
        <v>JOSÉ MANUEL LORENTE GARCÍA</v>
      </c>
      <c r="AV39" s="158">
        <f>$W$59</f>
        <v>50</v>
      </c>
      <c r="AW39" s="158">
        <f>$X$59</f>
        <v>100</v>
      </c>
      <c r="AX39" s="159">
        <f>$Y$59</f>
        <v>0.5</v>
      </c>
      <c r="AY39" s="158">
        <f>$Z$59</f>
        <v>3</v>
      </c>
      <c r="AZ39" s="160">
        <f>$AA$59</f>
        <v>2</v>
      </c>
      <c r="BB39" s="156"/>
      <c r="BC39" s="316">
        <v>8</v>
      </c>
      <c r="BD39" s="157" t="str">
        <f>$AC$18</f>
        <v>ALBERT FRANQUET MASIP</v>
      </c>
      <c r="BE39" s="158">
        <f>$AD$18</f>
        <v>11</v>
      </c>
      <c r="BF39" s="158">
        <f>$AE$18</f>
        <v>71</v>
      </c>
      <c r="BG39" s="159">
        <f>$AF$18</f>
        <v>0.15492957746478872</v>
      </c>
      <c r="BH39" s="158">
        <f>$AG$18</f>
        <v>3</v>
      </c>
      <c r="BI39" s="160">
        <f>$AH$18</f>
        <v>0</v>
      </c>
    </row>
    <row r="40" spans="3:61" ht="15.75" customHeight="1" thickTop="1">
      <c r="C40" s="637"/>
      <c r="D40" s="196">
        <v>0.5208333333333334</v>
      </c>
      <c r="E40" s="104" t="s">
        <v>81</v>
      </c>
      <c r="F40" s="105" t="str">
        <f t="shared" si="2"/>
        <v>ANTONIO GARCÍA SORIANO</v>
      </c>
      <c r="G40" s="93">
        <v>27</v>
      </c>
      <c r="H40" s="639">
        <v>50</v>
      </c>
      <c r="I40" s="94">
        <f>IF(H40="","",G40/H40)</f>
        <v>0.54</v>
      </c>
      <c r="J40" s="93">
        <v>3</v>
      </c>
      <c r="K40" s="95">
        <f>IF(H40="","",IF(G40&lt;G41,0,IF(G40&gt;G41,2,1)))</f>
        <v>2</v>
      </c>
      <c r="L40" s="96"/>
      <c r="AL40" s="90"/>
      <c r="AM40" s="90"/>
      <c r="AN40" s="90"/>
      <c r="AO40" s="90"/>
      <c r="AP40" s="90"/>
      <c r="AQ40" s="90"/>
      <c r="AU40" s="141"/>
      <c r="AV40" s="141"/>
      <c r="AW40" s="141"/>
      <c r="AX40" s="141"/>
      <c r="AY40" s="141"/>
      <c r="AZ40" s="141"/>
      <c r="BD40" s="90"/>
      <c r="BE40" s="90"/>
      <c r="BF40" s="90"/>
      <c r="BG40" s="90"/>
      <c r="BH40" s="90"/>
      <c r="BI40" s="90"/>
    </row>
    <row r="41" spans="3:52" ht="15.75" customHeight="1" thickBot="1">
      <c r="C41" s="638"/>
      <c r="D41" s="197" t="s">
        <v>308</v>
      </c>
      <c r="E41" s="102" t="s">
        <v>83</v>
      </c>
      <c r="F41" s="103" t="str">
        <f t="shared" si="2"/>
        <v>ANTONIO GARCÍA GÓMEZ</v>
      </c>
      <c r="G41" s="106">
        <v>23</v>
      </c>
      <c r="H41" s="640"/>
      <c r="I41" s="107">
        <f>IF(H40="","",G41/H40)</f>
        <v>0.46</v>
      </c>
      <c r="J41" s="106">
        <v>3</v>
      </c>
      <c r="K41" s="108">
        <f>IF(H40="","",IF(G41&lt;G40,0,IF(G41&gt;G40,2,1)))</f>
        <v>0</v>
      </c>
      <c r="L41" s="96"/>
      <c r="AU41" s="142"/>
      <c r="AV41" s="142"/>
      <c r="AW41" s="142"/>
      <c r="AX41" s="142"/>
      <c r="AY41" s="142"/>
      <c r="AZ41" s="142"/>
    </row>
    <row r="42" spans="2:62" s="90" customFormat="1" ht="11.25" customHeight="1">
      <c r="B42" s="179"/>
      <c r="G42" s="179">
        <f>SUM(G36:G41)</f>
        <v>154</v>
      </c>
      <c r="N42" s="133"/>
      <c r="O42" s="135"/>
      <c r="P42" s="133"/>
      <c r="Q42" s="133"/>
      <c r="R42" s="133"/>
      <c r="S42" s="133"/>
      <c r="T42" s="133"/>
      <c r="U42" s="136"/>
      <c r="V42" s="135"/>
      <c r="W42" s="133"/>
      <c r="X42" s="133"/>
      <c r="Y42" s="133"/>
      <c r="Z42" s="133"/>
      <c r="AA42" s="133"/>
      <c r="AB42" s="136"/>
      <c r="AC42" s="135"/>
      <c r="AD42" s="133"/>
      <c r="AE42" s="133"/>
      <c r="AF42" s="133"/>
      <c r="AG42" s="133"/>
      <c r="AH42" s="133"/>
      <c r="AI42" s="132"/>
      <c r="AJ42" s="143"/>
      <c r="AK42" s="141"/>
      <c r="AL42" s="89"/>
      <c r="AM42" s="89"/>
      <c r="AN42" s="89"/>
      <c r="AO42" s="89"/>
      <c r="AP42" s="89"/>
      <c r="AQ42" s="89"/>
      <c r="AR42" s="132"/>
      <c r="AS42" s="143"/>
      <c r="AT42" s="141"/>
      <c r="AU42" s="142"/>
      <c r="AV42" s="142"/>
      <c r="AW42" s="142"/>
      <c r="AX42" s="142"/>
      <c r="AY42" s="142"/>
      <c r="AZ42" s="142"/>
      <c r="BA42" s="136"/>
      <c r="BB42" s="143"/>
      <c r="BC42" s="141"/>
      <c r="BD42" s="89"/>
      <c r="BE42" s="89"/>
      <c r="BF42" s="89"/>
      <c r="BG42" s="89"/>
      <c r="BH42" s="89"/>
      <c r="BI42" s="89"/>
      <c r="BJ42" s="136"/>
    </row>
    <row r="43" spans="2:52" ht="12.75" thickBot="1">
      <c r="B43" s="179" t="s">
        <v>271</v>
      </c>
      <c r="D43" s="119" t="s">
        <v>268</v>
      </c>
      <c r="E43" s="110" t="str">
        <f>C36</f>
        <v>F</v>
      </c>
      <c r="F43" s="89" t="s">
        <v>262</v>
      </c>
      <c r="G43" s="89" t="s">
        <v>263</v>
      </c>
      <c r="H43" s="89" t="s">
        <v>264</v>
      </c>
      <c r="I43" s="89" t="s">
        <v>309</v>
      </c>
      <c r="J43" s="89" t="s">
        <v>266</v>
      </c>
      <c r="K43" s="89" t="s">
        <v>301</v>
      </c>
      <c r="L43" s="89" t="s">
        <v>269</v>
      </c>
      <c r="M43" s="109" t="s">
        <v>272</v>
      </c>
      <c r="N43" s="133" t="s">
        <v>270</v>
      </c>
      <c r="AU43" s="142"/>
      <c r="AV43" s="142"/>
      <c r="AW43" s="142"/>
      <c r="AX43" s="142"/>
      <c r="AY43" s="142"/>
      <c r="AZ43" s="142"/>
    </row>
    <row r="44" spans="2:52" ht="18" thickTop="1">
      <c r="B44" s="179">
        <f>N44</f>
        <v>1</v>
      </c>
      <c r="C44" s="179" t="str">
        <f>CONCATENATE("F",E44)</f>
        <v>F1</v>
      </c>
      <c r="D44" s="91">
        <v>22</v>
      </c>
      <c r="E44" s="93">
        <v>1</v>
      </c>
      <c r="F44" s="92" t="str">
        <f>IF(D44="","",VLOOKUP(D44,'Ranquing Inicial'!$B$6:$V$69,2,0))</f>
        <v>ANTONIO GARCÍA SORIANO</v>
      </c>
      <c r="G44" s="93">
        <f>SUM(G38,G40)</f>
        <v>57</v>
      </c>
      <c r="H44" s="93">
        <f>SUM(H38,H40)</f>
        <v>89</v>
      </c>
      <c r="I44" s="111">
        <f>IF(H44="","",G44/H44)</f>
        <v>0.6404494382022472</v>
      </c>
      <c r="J44" s="93">
        <f>MAX(J38,J40)</f>
        <v>6</v>
      </c>
      <c r="K44" s="95">
        <f>SUM(K38,K40)</f>
        <v>4</v>
      </c>
      <c r="L44" s="200" t="str">
        <f>IF(ISERROR(I44),"",N44&amp;"º")</f>
        <v>1º</v>
      </c>
      <c r="M44" s="112">
        <f>IF(ISERROR(I44),"",SUM(K44,I44/1000,J44/1000000))</f>
        <v>4.000646449438202</v>
      </c>
      <c r="N44" s="133">
        <f>IF(ISERROR(I44),"",RANK(M44,M44:M46))</f>
        <v>1</v>
      </c>
      <c r="O44" s="137" t="str">
        <f>IF(N44=1,VLOOKUP(1,B44:K46,5,0),"")</f>
        <v>ANTONIO GARCÍA SORIANO</v>
      </c>
      <c r="P44" s="138">
        <f>IF(N44=1,VLOOKUP(1,B44:K46,6,0),"")</f>
        <v>57</v>
      </c>
      <c r="Q44" s="138">
        <f>IF(N44=1,VLOOKUP(1,B44:K46,7,0),"")</f>
        <v>89</v>
      </c>
      <c r="R44" s="139">
        <f>IF(N44=1,VLOOKUP(1,B44:K46,8,0),"")</f>
        <v>0.6404494382022472</v>
      </c>
      <c r="S44" s="138">
        <f>IF(N44=1,VLOOKUP(1,B44:K46,9,0),"")</f>
        <v>6</v>
      </c>
      <c r="T44" s="138">
        <f>IF(N44=1,VLOOKUP(1,B44:K46,10,0),"")</f>
        <v>4</v>
      </c>
      <c r="V44" s="137">
        <f>IF(N44=2,VLOOKUP(2,B44:K46,5,0),"")</f>
      </c>
      <c r="W44" s="138">
        <f>IF(N44=2,VLOOKUP(2,B44:K46,6,0),"")</f>
      </c>
      <c r="X44" s="138">
        <f>IF(N44=2,VLOOKUP(2,B44:K46,7,0),"")</f>
      </c>
      <c r="Y44" s="139">
        <f>IF(N44=2,VLOOKUP(2,B44:K46,8,0),"")</f>
      </c>
      <c r="Z44" s="138">
        <f>IF(N44=2,VLOOKUP(2,B44:K46,9,0),"")</f>
      </c>
      <c r="AA44" s="138">
        <f>IF(N44=2,VLOOKUP(2,$B$16:$K$18,10,0),"")</f>
      </c>
      <c r="AC44" s="135">
        <f>IF(N44=3,VLOOKUP(3,B44:K46,5,0),"")</f>
      </c>
      <c r="AD44" s="138">
        <f>IF(N44=3,VLOOKUP(3,B44:K46,6,0),"")</f>
      </c>
      <c r="AE44" s="138">
        <f>IF(N44=3,VLOOKUP(3,B44:K46,7,0),"")</f>
      </c>
      <c r="AF44" s="139">
        <f>IF(N44=3,VLOOKUP(3,B44:K46,8,0),"")</f>
      </c>
      <c r="AG44" s="138">
        <f>IF(N44=3,VLOOKUP(3,B44:K46,9,0),"")</f>
      </c>
      <c r="AH44" s="138">
        <f>IF(N44=3,VLOOKUP(3,B44:K46,10,0),"")</f>
      </c>
      <c r="AU44" s="142"/>
      <c r="AV44" s="142"/>
      <c r="AW44" s="142"/>
      <c r="AX44" s="142"/>
      <c r="AY44" s="142"/>
      <c r="AZ44" s="142"/>
    </row>
    <row r="45" spans="2:52" ht="16.5">
      <c r="B45" s="179">
        <f>N45</f>
        <v>2</v>
      </c>
      <c r="C45" s="179" t="str">
        <f>CONCATENATE("F",E45)</f>
        <v>F2</v>
      </c>
      <c r="D45" s="113">
        <v>43</v>
      </c>
      <c r="E45" s="114">
        <v>2</v>
      </c>
      <c r="F45" s="115" t="str">
        <f>IF(D45="","",VLOOKUP(D45,'Ranquing Inicial'!$B$6:$V$69,2,0))</f>
        <v>RICARDO GARCÍA ZALDÍVAR</v>
      </c>
      <c r="G45" s="114">
        <f>SUM(G36,G39)</f>
        <v>51</v>
      </c>
      <c r="H45" s="114">
        <f>SUM(H36,H38)</f>
        <v>89</v>
      </c>
      <c r="I45" s="116">
        <f>IF(H45="","",G45/H45)</f>
        <v>0.5730337078651685</v>
      </c>
      <c r="J45" s="114">
        <f>MAX(J36,J39)</f>
        <v>3</v>
      </c>
      <c r="K45" s="117">
        <f>SUM(K36,K39)</f>
        <v>2</v>
      </c>
      <c r="L45" s="199" t="str">
        <f>IF(ISERROR(I45),"",N45&amp;"º")</f>
        <v>2º</v>
      </c>
      <c r="M45" s="112">
        <f>IF(ISERROR(I45),"",SUM(K45,I45/1000,J45/1000000))</f>
        <v>2.000576033707865</v>
      </c>
      <c r="N45" s="133">
        <f>IF(ISERROR(I45),"",RANK(M45,M44:M46))</f>
        <v>2</v>
      </c>
      <c r="O45" s="137">
        <f>IF(N45=1,VLOOKUP(1,B44:K46,5,0),"")</f>
      </c>
      <c r="P45" s="138">
        <f>IF(N45=1,VLOOKUP(1,B44:K46,6,0),"")</f>
      </c>
      <c r="Q45" s="138">
        <f>IF(N45=1,VLOOKUP(1,B44:K46,7,0),"")</f>
      </c>
      <c r="R45" s="139">
        <f>IF(N45=1,VLOOKUP(1,B44:K46,8,0),"")</f>
      </c>
      <c r="S45" s="138">
        <f>IF(N45=1,VLOOKUP(1,B44:K46,9,0),"")</f>
      </c>
      <c r="T45" s="138">
        <f>IF(N45=1,VLOOKUP(1,B44:K46,10,0),"")</f>
      </c>
      <c r="V45" s="137" t="str">
        <f>IF(N45=2,VLOOKUP(2,B44:K46,5,0),"")</f>
        <v>RICARDO GARCÍA ZALDÍVAR</v>
      </c>
      <c r="W45" s="138">
        <f>IF(N45=2,VLOOKUP(2,B44:K46,6,0),"")</f>
        <v>51</v>
      </c>
      <c r="X45" s="138">
        <f>IF(N45=2,VLOOKUP(2,B44:K46,7,0),"")</f>
        <v>89</v>
      </c>
      <c r="Y45" s="139">
        <f>IF(N45=2,VLOOKUP(2,B44:$K46,8,0),"")</f>
        <v>0.5730337078651685</v>
      </c>
      <c r="Z45" s="138">
        <f>IF(N45=2,VLOOKUP(2,B44:K46,9,0),"")</f>
        <v>3</v>
      </c>
      <c r="AA45" s="138">
        <f>IF(N45=2,VLOOKUP(2,B44:K46,10,0),"")</f>
        <v>2</v>
      </c>
      <c r="AC45" s="135">
        <f>IF(N45=3,VLOOKUP(3,B44:K46,5,0),"")</f>
      </c>
      <c r="AD45" s="138">
        <f>IF(N45=3,VLOOKUP(3,B44:K46,6,0),"")</f>
      </c>
      <c r="AE45" s="138">
        <f>IF(N45=3,VLOOKUP(3,B44:K46,7,0),"")</f>
      </c>
      <c r="AF45" s="139">
        <f>IF(N45=3,VLOOKUP(3,B44:K46,8,0),"")</f>
      </c>
      <c r="AG45" s="138">
        <f>IF(N45=3,VLOOKUP(3,B44:K46,9,0),"")</f>
      </c>
      <c r="AH45" s="138">
        <f>IF(N45=3,VLOOKUP(3,B44:K46,10,0),"")</f>
      </c>
      <c r="AU45" s="142"/>
      <c r="AV45" s="142"/>
      <c r="AW45" s="142"/>
      <c r="AX45" s="142"/>
      <c r="AY45" s="142"/>
      <c r="AZ45" s="142"/>
    </row>
    <row r="46" spans="2:52" ht="18" thickBot="1">
      <c r="B46" s="179">
        <f>N46</f>
        <v>3</v>
      </c>
      <c r="C46" s="179" t="str">
        <f>CONCATENATE("F",E46)</f>
        <v>F3</v>
      </c>
      <c r="D46" s="102">
        <v>59</v>
      </c>
      <c r="E46" s="106">
        <v>3</v>
      </c>
      <c r="F46" s="103" t="str">
        <f>IF(D46="","",VLOOKUP(D46,'Ranquing Inicial'!$B$6:$V$69,2,0))</f>
        <v>ANTONIO GARCÍA GÓMEZ</v>
      </c>
      <c r="G46" s="106">
        <f>SUM(G37,G41)</f>
        <v>46</v>
      </c>
      <c r="H46" s="106">
        <f>SUM(H36,H40)</f>
        <v>100</v>
      </c>
      <c r="I46" s="118">
        <f>IF(H46="","",G46/H46)</f>
        <v>0.46</v>
      </c>
      <c r="J46" s="106">
        <f>MAX(J37,J41)</f>
        <v>3</v>
      </c>
      <c r="K46" s="108">
        <f>SUM(K37,K41)</f>
        <v>0</v>
      </c>
      <c r="L46" s="201" t="str">
        <f>IF(ISERROR(I46),"",N46&amp;"º")</f>
        <v>3º</v>
      </c>
      <c r="M46" s="112">
        <f>IF(ISERROR(I46),"",SUM(K46,I46/1000,J46/1000000))</f>
        <v>0.00046300000000000003</v>
      </c>
      <c r="N46" s="133">
        <f>IF(ISERROR(I46),"",RANK(M46,M44:M46))</f>
        <v>3</v>
      </c>
      <c r="O46" s="137">
        <f>IF(N46=1,VLOOKUP(1,B44:K46,5,0),"")</f>
      </c>
      <c r="P46" s="138">
        <f>IF(N46=1,VLOOKUP(1,B44:K46,6,0),"")</f>
      </c>
      <c r="Q46" s="138">
        <f>IF(N46=1,VLOOKUP(1,B44:K46,7,0),"")</f>
      </c>
      <c r="R46" s="139">
        <f>IF(N46=1,VLOOKUP(1,B44:K46,8,0),"")</f>
      </c>
      <c r="S46" s="138">
        <f>IF(N46=1,VLOOKUP(1,B44:K46,9,0),"")</f>
      </c>
      <c r="T46" s="138">
        <f>IF(N46=1,VLOOKUP(1,B44:K46,10,0),"")</f>
      </c>
      <c r="V46" s="135">
        <f>IF(N46=2,VLOOKUP(2,B44:K46,5,0),"")</f>
      </c>
      <c r="W46" s="138">
        <f>IF(N46=2,VLOOKUP(2,B44:K46,6,0),"")</f>
      </c>
      <c r="X46" s="138">
        <f>IF(N46=2,VLOOKUP(2,B44:K46,7,0),"")</f>
      </c>
      <c r="Y46" s="139">
        <f>IF(N46=2,VLOOKUP(2,B44:K46,8,0),"")</f>
      </c>
      <c r="Z46" s="138">
        <f>IF(N46=2,VLOOKUP(2,B44:K46,9,0),"")</f>
      </c>
      <c r="AA46" s="138">
        <f>IF(N46=2,VLOOKUP(2,B44:K46,10,0),"")</f>
      </c>
      <c r="AC46" s="135" t="str">
        <f>IF(N46=3,VLOOKUP(3,B44:K46,5,0),"")</f>
        <v>ANTONIO GARCÍA GÓMEZ</v>
      </c>
      <c r="AD46" s="138">
        <f>IF(N46=3,VLOOKUP(3,B44:K46,6,0),"")</f>
        <v>46</v>
      </c>
      <c r="AE46" s="138">
        <f>IF(N46=3,VLOOKUP(3,B44:K46,7,0),"")</f>
        <v>100</v>
      </c>
      <c r="AF46" s="139">
        <f>IF(N46=3,VLOOKUP(3,B44:K46,8,0),"")</f>
        <v>0.46</v>
      </c>
      <c r="AG46" s="138">
        <f>IF(N46=3,VLOOKUP(3,B44:K46,9,0),"")</f>
        <v>3</v>
      </c>
      <c r="AH46" s="138">
        <f>IF(N46=3,VLOOKUP(3,B44:K46,10,0),"")</f>
        <v>0</v>
      </c>
      <c r="AU46" s="142"/>
      <c r="AV46" s="142"/>
      <c r="AW46" s="142"/>
      <c r="AX46" s="142"/>
      <c r="AY46" s="142"/>
      <c r="AZ46" s="142"/>
    </row>
    <row r="47" spans="2:62" s="90" customFormat="1" ht="12.75" customHeight="1" thickTop="1">
      <c r="B47" s="179"/>
      <c r="I47" s="180">
        <f>MAX(I44:I46)</f>
        <v>0.6404494382022472</v>
      </c>
      <c r="J47" s="179"/>
      <c r="K47" s="179">
        <f>SUM(K44:K46)</f>
        <v>6</v>
      </c>
      <c r="L47" s="179" t="e">
        <f>MODE(K44:K46)</f>
        <v>#N/A</v>
      </c>
      <c r="N47" s="133"/>
      <c r="O47" s="135"/>
      <c r="P47" s="133"/>
      <c r="Q47" s="133"/>
      <c r="R47" s="133"/>
      <c r="S47" s="133"/>
      <c r="T47" s="133"/>
      <c r="U47" s="136"/>
      <c r="V47" s="135"/>
      <c r="W47" s="133"/>
      <c r="X47" s="133"/>
      <c r="Y47" s="133"/>
      <c r="Z47" s="133"/>
      <c r="AA47" s="133"/>
      <c r="AB47" s="136"/>
      <c r="AC47" s="135"/>
      <c r="AD47" s="133"/>
      <c r="AE47" s="133"/>
      <c r="AF47" s="133"/>
      <c r="AG47" s="133"/>
      <c r="AH47" s="133"/>
      <c r="AI47" s="132"/>
      <c r="AJ47" s="143"/>
      <c r="AK47" s="141"/>
      <c r="AL47" s="89"/>
      <c r="AM47" s="89"/>
      <c r="AN47" s="89"/>
      <c r="AO47" s="89"/>
      <c r="AP47" s="89"/>
      <c r="AQ47" s="89"/>
      <c r="AR47" s="132"/>
      <c r="AS47" s="143"/>
      <c r="AT47" s="141"/>
      <c r="AU47" s="142"/>
      <c r="AV47" s="142"/>
      <c r="AW47" s="142"/>
      <c r="AX47" s="142"/>
      <c r="AY47" s="142"/>
      <c r="AZ47" s="142"/>
      <c r="BA47" s="136"/>
      <c r="BB47" s="143"/>
      <c r="BC47" s="141"/>
      <c r="BD47" s="89"/>
      <c r="BE47" s="89"/>
      <c r="BF47" s="89"/>
      <c r="BG47" s="89"/>
      <c r="BH47" s="89"/>
      <c r="BI47" s="89"/>
      <c r="BJ47" s="136"/>
    </row>
    <row r="48" spans="47:52" ht="12">
      <c r="AU48" s="142"/>
      <c r="AV48" s="142"/>
      <c r="AW48" s="142"/>
      <c r="AX48" s="142"/>
      <c r="AY48" s="142"/>
      <c r="AZ48" s="142"/>
    </row>
    <row r="49" spans="6:61" ht="12.75" thickBot="1">
      <c r="F49" s="89" t="s">
        <v>262</v>
      </c>
      <c r="G49" s="89" t="s">
        <v>263</v>
      </c>
      <c r="H49" s="89" t="s">
        <v>264</v>
      </c>
      <c r="I49" s="89" t="s">
        <v>309</v>
      </c>
      <c r="J49" s="89" t="s">
        <v>266</v>
      </c>
      <c r="K49" s="89" t="s">
        <v>301</v>
      </c>
      <c r="AL49" s="90"/>
      <c r="AM49" s="90"/>
      <c r="AN49" s="90"/>
      <c r="AO49" s="90"/>
      <c r="AP49" s="90"/>
      <c r="AQ49" s="90"/>
      <c r="AU49" s="141"/>
      <c r="AV49" s="141"/>
      <c r="AW49" s="141"/>
      <c r="AX49" s="141"/>
      <c r="AY49" s="141"/>
      <c r="AZ49" s="141"/>
      <c r="BD49" s="90"/>
      <c r="BE49" s="90"/>
      <c r="BF49" s="90"/>
      <c r="BG49" s="90"/>
      <c r="BH49" s="90"/>
      <c r="BI49" s="90"/>
    </row>
    <row r="50" spans="3:52" ht="15.75" customHeight="1" thickTop="1">
      <c r="C50" s="636" t="str">
        <f>'Fase Grups'!L5</f>
        <v>H</v>
      </c>
      <c r="D50" s="123">
        <f>'Fase Grups'!B13</f>
        <v>0.3958333333333333</v>
      </c>
      <c r="E50" s="91" t="s">
        <v>88</v>
      </c>
      <c r="F50" s="92" t="str">
        <f aca="true" t="shared" si="3" ref="F50:F55">VLOOKUP(E50,$C$58:$F$60,4,1)</f>
        <v>JOSÉ MANUEL LORENTE GARCÍA</v>
      </c>
      <c r="G50" s="93">
        <v>27</v>
      </c>
      <c r="H50" s="639">
        <v>50</v>
      </c>
      <c r="I50" s="94">
        <f>IF(H50="","",G50/H50)</f>
        <v>0.54</v>
      </c>
      <c r="J50" s="93">
        <v>2</v>
      </c>
      <c r="K50" s="95">
        <f>IF(H50="","",IF(G50&lt;G51,0,IF(G50&gt;G51,2,1)))</f>
        <v>2</v>
      </c>
      <c r="L50" s="96"/>
      <c r="AU50" s="142"/>
      <c r="AV50" s="142"/>
      <c r="AW50" s="142"/>
      <c r="AX50" s="142"/>
      <c r="AY50" s="142"/>
      <c r="AZ50" s="142"/>
    </row>
    <row r="51" spans="3:61" ht="15.75" customHeight="1" thickBot="1">
      <c r="C51" s="637"/>
      <c r="D51" s="124" t="str">
        <f>CONCATENATE("Mesa ",'Fase Grups'!J12)</f>
        <v>Mesa 4</v>
      </c>
      <c r="E51" s="97" t="s">
        <v>89</v>
      </c>
      <c r="F51" s="98" t="str">
        <f t="shared" si="3"/>
        <v>JOAN HERNÁNDEZ MÁRQUEZ</v>
      </c>
      <c r="G51" s="99">
        <v>19</v>
      </c>
      <c r="H51" s="640"/>
      <c r="I51" s="100">
        <f>IF(H50="","",G51/H50)</f>
        <v>0.38</v>
      </c>
      <c r="J51" s="99">
        <v>3</v>
      </c>
      <c r="K51" s="101">
        <f>IF(H50="","",IF(G51&lt;G50,0,IF(G51&gt;G50,2,1)))</f>
        <v>0</v>
      </c>
      <c r="L51" s="96"/>
      <c r="AL51" s="90"/>
      <c r="AM51" s="90"/>
      <c r="AN51" s="90"/>
      <c r="AO51" s="90"/>
      <c r="AP51" s="90"/>
      <c r="AQ51" s="90"/>
      <c r="AU51" s="141"/>
      <c r="AV51" s="141"/>
      <c r="AW51" s="141"/>
      <c r="AX51" s="141"/>
      <c r="AY51" s="141"/>
      <c r="AZ51" s="141"/>
      <c r="BD51" s="90"/>
      <c r="BE51" s="90"/>
      <c r="BF51" s="90"/>
      <c r="BG51" s="90"/>
      <c r="BH51" s="90"/>
      <c r="BI51" s="90"/>
    </row>
    <row r="52" spans="3:52" ht="15.75" customHeight="1" thickTop="1">
      <c r="C52" s="637"/>
      <c r="D52" s="195">
        <v>0.7291666666666666</v>
      </c>
      <c r="E52" s="91" t="s">
        <v>87</v>
      </c>
      <c r="F52" s="92" t="str">
        <f t="shared" si="3"/>
        <v>JOSÉ LUIS GONZÁLEZ SÁNCHEZ</v>
      </c>
      <c r="G52" s="93">
        <v>29</v>
      </c>
      <c r="H52" s="639">
        <v>50</v>
      </c>
      <c r="I52" s="94">
        <f>IF(H52="","",G52/H52)</f>
        <v>0.58</v>
      </c>
      <c r="J52" s="93">
        <v>3</v>
      </c>
      <c r="K52" s="95">
        <f>IF(H52="","",IF(G52&lt;G53,0,IF(G52&gt;G53,2,1)))</f>
        <v>2</v>
      </c>
      <c r="L52" s="96"/>
      <c r="AU52" s="142"/>
      <c r="AV52" s="142"/>
      <c r="AW52" s="142"/>
      <c r="AX52" s="142"/>
      <c r="AY52" s="142"/>
      <c r="AZ52" s="142"/>
    </row>
    <row r="53" spans="3:52" ht="15.75" customHeight="1" thickBot="1">
      <c r="C53" s="637"/>
      <c r="D53" s="193" t="s">
        <v>307</v>
      </c>
      <c r="E53" s="102" t="s">
        <v>88</v>
      </c>
      <c r="F53" s="103" t="str">
        <f t="shared" si="3"/>
        <v>JOSÉ MANUEL LORENTE GARCÍA</v>
      </c>
      <c r="G53" s="99">
        <v>23</v>
      </c>
      <c r="H53" s="640"/>
      <c r="I53" s="100">
        <f>IF(H52="","",G53/H52)</f>
        <v>0.46</v>
      </c>
      <c r="J53" s="99">
        <v>3</v>
      </c>
      <c r="K53" s="101">
        <f>IF(H52="","",IF(G53&lt;G52,0,IF(G53&gt;G52,2,1)))</f>
        <v>0</v>
      </c>
      <c r="L53" s="96"/>
      <c r="AU53" s="142"/>
      <c r="AV53" s="142"/>
      <c r="AW53" s="142"/>
      <c r="AX53" s="142"/>
      <c r="AY53" s="142"/>
      <c r="AZ53" s="142"/>
    </row>
    <row r="54" spans="3:52" ht="15.75" customHeight="1" thickTop="1">
      <c r="C54" s="637"/>
      <c r="D54" s="194">
        <v>0.5208333333333334</v>
      </c>
      <c r="E54" s="104" t="s">
        <v>87</v>
      </c>
      <c r="F54" s="105" t="str">
        <f t="shared" si="3"/>
        <v>JOSÉ LUIS GONZÁLEZ SÁNCHEZ</v>
      </c>
      <c r="G54" s="93">
        <v>29</v>
      </c>
      <c r="H54" s="639">
        <v>50</v>
      </c>
      <c r="I54" s="94">
        <f>IF(H54="","",G54/H54)</f>
        <v>0.58</v>
      </c>
      <c r="J54" s="93">
        <v>4</v>
      </c>
      <c r="K54" s="95">
        <f>IF(H54="","",IF(G54&lt;G55,0,IF(G54&gt;G55,2,1)))</f>
        <v>2</v>
      </c>
      <c r="L54" s="96"/>
      <c r="AU54" s="142"/>
      <c r="AV54" s="142"/>
      <c r="AW54" s="142"/>
      <c r="AX54" s="142"/>
      <c r="AY54" s="142"/>
      <c r="AZ54" s="142"/>
    </row>
    <row r="55" spans="3:52" ht="15.75" customHeight="1" thickBot="1">
      <c r="C55" s="638"/>
      <c r="D55" s="193" t="s">
        <v>307</v>
      </c>
      <c r="E55" s="102" t="s">
        <v>89</v>
      </c>
      <c r="F55" s="103" t="str">
        <f t="shared" si="3"/>
        <v>JOAN HERNÁNDEZ MÁRQUEZ</v>
      </c>
      <c r="G55" s="106">
        <v>16</v>
      </c>
      <c r="H55" s="640"/>
      <c r="I55" s="107">
        <f>IF(H54="","",G55/H54)</f>
        <v>0.32</v>
      </c>
      <c r="J55" s="106">
        <v>4</v>
      </c>
      <c r="K55" s="108">
        <f>IF(H54="","",IF(G55&lt;G54,0,IF(G55&gt;G54,2,1)))</f>
        <v>0</v>
      </c>
      <c r="L55" s="96"/>
      <c r="AU55" s="142"/>
      <c r="AV55" s="142"/>
      <c r="AW55" s="142"/>
      <c r="AX55" s="142"/>
      <c r="AY55" s="142"/>
      <c r="AZ55" s="142"/>
    </row>
    <row r="56" spans="2:62" s="90" customFormat="1" ht="11.25" customHeight="1">
      <c r="B56" s="179"/>
      <c r="G56" s="179">
        <f>SUM(G50:G55)</f>
        <v>143</v>
      </c>
      <c r="N56" s="133"/>
      <c r="O56" s="135"/>
      <c r="P56" s="133"/>
      <c r="Q56" s="133"/>
      <c r="R56" s="133"/>
      <c r="S56" s="133"/>
      <c r="T56" s="133"/>
      <c r="U56" s="136"/>
      <c r="V56" s="135"/>
      <c r="W56" s="133"/>
      <c r="X56" s="133"/>
      <c r="Y56" s="133"/>
      <c r="Z56" s="133"/>
      <c r="AA56" s="133"/>
      <c r="AB56" s="136"/>
      <c r="AC56" s="135"/>
      <c r="AD56" s="133"/>
      <c r="AE56" s="133"/>
      <c r="AF56" s="133"/>
      <c r="AG56" s="133"/>
      <c r="AH56" s="133"/>
      <c r="AI56" s="132"/>
      <c r="AJ56" s="143"/>
      <c r="AK56" s="141"/>
      <c r="AL56" s="89"/>
      <c r="AM56" s="89"/>
      <c r="AN56" s="89"/>
      <c r="AO56" s="89"/>
      <c r="AP56" s="89"/>
      <c r="AQ56" s="89"/>
      <c r="AR56" s="132"/>
      <c r="AS56" s="143"/>
      <c r="AT56" s="141"/>
      <c r="AU56" s="142"/>
      <c r="AV56" s="142"/>
      <c r="AW56" s="142"/>
      <c r="AX56" s="142"/>
      <c r="AY56" s="142"/>
      <c r="AZ56" s="142"/>
      <c r="BA56" s="136"/>
      <c r="BB56" s="143"/>
      <c r="BC56" s="141"/>
      <c r="BD56" s="89"/>
      <c r="BE56" s="89"/>
      <c r="BF56" s="89"/>
      <c r="BG56" s="89"/>
      <c r="BH56" s="89"/>
      <c r="BI56" s="89"/>
      <c r="BJ56" s="136"/>
    </row>
    <row r="57" spans="2:52" ht="12.75" thickBot="1">
      <c r="B57" s="179" t="s">
        <v>271</v>
      </c>
      <c r="D57" s="119" t="s">
        <v>268</v>
      </c>
      <c r="E57" s="110" t="str">
        <f>C50</f>
        <v>H</v>
      </c>
      <c r="F57" s="89" t="s">
        <v>262</v>
      </c>
      <c r="G57" s="89" t="s">
        <v>263</v>
      </c>
      <c r="H57" s="89" t="s">
        <v>264</v>
      </c>
      <c r="I57" s="89" t="s">
        <v>309</v>
      </c>
      <c r="J57" s="89" t="s">
        <v>266</v>
      </c>
      <c r="K57" s="89" t="s">
        <v>301</v>
      </c>
      <c r="L57" s="89" t="s">
        <v>269</v>
      </c>
      <c r="M57" s="109" t="s">
        <v>272</v>
      </c>
      <c r="N57" s="133" t="s">
        <v>270</v>
      </c>
      <c r="AU57" s="142"/>
      <c r="AV57" s="142"/>
      <c r="AW57" s="142"/>
      <c r="AX57" s="142"/>
      <c r="AY57" s="142"/>
      <c r="AZ57" s="142"/>
    </row>
    <row r="58" spans="2:52" ht="18" thickTop="1">
      <c r="B58" s="179">
        <f>N58</f>
        <v>1</v>
      </c>
      <c r="C58" s="179" t="s">
        <v>87</v>
      </c>
      <c r="D58" s="91">
        <v>24</v>
      </c>
      <c r="E58" s="93">
        <v>1</v>
      </c>
      <c r="F58" s="92" t="str">
        <f>IF(D58="","",VLOOKUP(D58,'Ranquing Inicial'!$B$6:$V$69,2,0))</f>
        <v>JOSÉ LUIS GONZÁLEZ SÁNCHEZ</v>
      </c>
      <c r="G58" s="93">
        <f>SUM(G52,G54)</f>
        <v>58</v>
      </c>
      <c r="H58" s="93">
        <f>SUM(H52,H54)</f>
        <v>100</v>
      </c>
      <c r="I58" s="111">
        <f>IF(H58="","",G58/H58)</f>
        <v>0.58</v>
      </c>
      <c r="J58" s="93">
        <f>MAX(J52,J54)</f>
        <v>4</v>
      </c>
      <c r="K58" s="95">
        <f>SUM(K52,K54)</f>
        <v>4</v>
      </c>
      <c r="L58" s="200" t="str">
        <f>IF(ISERROR(I58),"",N58&amp;"º")</f>
        <v>1º</v>
      </c>
      <c r="M58" s="112">
        <f>IF(ISERROR(I58),"",SUM(K58,I58/1000,J58/1000000))</f>
        <v>4.000584</v>
      </c>
      <c r="N58" s="133">
        <f>IF(ISERROR(I58),"",RANK(M58,M58:M60))</f>
        <v>1</v>
      </c>
      <c r="O58" s="137" t="str">
        <f>IF(N58=1,VLOOKUP(1,B58:K60,5,0),"")</f>
        <v>JOSÉ LUIS GONZÁLEZ SÁNCHEZ</v>
      </c>
      <c r="P58" s="138">
        <f>IF(N58=1,VLOOKUP(1,B58:K60,6,0),"")</f>
        <v>58</v>
      </c>
      <c r="Q58" s="138">
        <f>IF(N58=1,VLOOKUP(1,B58:K60,7,0),"")</f>
        <v>100</v>
      </c>
      <c r="R58" s="139">
        <f>IF(N58=1,VLOOKUP(1,B58:K60,8,0),"")</f>
        <v>0.58</v>
      </c>
      <c r="S58" s="138">
        <f>IF(N58=1,VLOOKUP(1,B58:K60,9,0),"")</f>
        <v>4</v>
      </c>
      <c r="T58" s="138">
        <f>IF(N58=1,VLOOKUP(1,B58:K60,10,0),"")</f>
        <v>4</v>
      </c>
      <c r="V58" s="137">
        <f>IF(N58=2,VLOOKUP(2,B58:K60,5,0),"")</f>
      </c>
      <c r="W58" s="138">
        <f>IF(N58=2,VLOOKUP(2,B58:K60,6,0),"")</f>
      </c>
      <c r="X58" s="138">
        <f>IF(N58=2,VLOOKUP(2,B58:K60,7,0),"")</f>
      </c>
      <c r="Y58" s="139">
        <f>IF(N58=2,VLOOKUP(2,B58:K60,8,0),"")</f>
      </c>
      <c r="Z58" s="138">
        <f>IF(N58=2,VLOOKUP(2,B58:K60,9,0),"")</f>
      </c>
      <c r="AA58" s="138">
        <f>IF(N58=2,VLOOKUP(2,$B$16:$K$18,10,0),"")</f>
      </c>
      <c r="AC58" s="135">
        <f>IF(N58=3,VLOOKUP(3,B58:K60,5,0),"")</f>
      </c>
      <c r="AD58" s="138">
        <f>IF(N58=3,VLOOKUP(3,B58:K60,6,0),"")</f>
      </c>
      <c r="AE58" s="138">
        <f>IF(N58=3,VLOOKUP(3,B58:K60,7,0),"")</f>
      </c>
      <c r="AF58" s="139">
        <f>IF(N58=3,VLOOKUP(3,B58:K60,8,0),"")</f>
      </c>
      <c r="AG58" s="138">
        <f>IF(N58=3,VLOOKUP(3,B58:K60,9,0),"")</f>
      </c>
      <c r="AH58" s="138">
        <f>IF(N58=3,VLOOKUP(3,B58:K60,10,0),"")</f>
      </c>
      <c r="AU58" s="142"/>
      <c r="AV58" s="142"/>
      <c r="AW58" s="142"/>
      <c r="AX58" s="142"/>
      <c r="AY58" s="142"/>
      <c r="AZ58" s="142"/>
    </row>
    <row r="59" spans="2:52" ht="16.5">
      <c r="B59" s="179">
        <f>N59</f>
        <v>2</v>
      </c>
      <c r="C59" s="179" t="s">
        <v>88</v>
      </c>
      <c r="D59" s="113">
        <v>41</v>
      </c>
      <c r="E59" s="114">
        <v>2</v>
      </c>
      <c r="F59" s="115" t="str">
        <f>IF(D59="","",VLOOKUP(D59,'Ranquing Inicial'!$B$6:$V$69,2,0))</f>
        <v>JOSÉ MANUEL LORENTE GARCÍA</v>
      </c>
      <c r="G59" s="114">
        <f>SUM(G50,G53)</f>
        <v>50</v>
      </c>
      <c r="H59" s="114">
        <f>SUM(H50,H52)</f>
        <v>100</v>
      </c>
      <c r="I59" s="116">
        <f>IF(H59="","",G59/H59)</f>
        <v>0.5</v>
      </c>
      <c r="J59" s="114">
        <f>MAX(J50,J53)</f>
        <v>3</v>
      </c>
      <c r="K59" s="117">
        <f>SUM(K50,K53)</f>
        <v>2</v>
      </c>
      <c r="L59" s="199" t="str">
        <f>IF(ISERROR(I59),"",N59&amp;"º")</f>
        <v>2º</v>
      </c>
      <c r="M59" s="112">
        <f>IF(ISERROR(I59),"",SUM(K59,I59/1000,J59/1000000))</f>
        <v>2.000503</v>
      </c>
      <c r="N59" s="133">
        <f>IF(ISERROR(I59),"",RANK(M59,M58:M60))</f>
        <v>2</v>
      </c>
      <c r="O59" s="137">
        <f>IF(N59=1,VLOOKUP(1,B58:K60,5,0),"")</f>
      </c>
      <c r="P59" s="138">
        <f>IF(N59=1,VLOOKUP(1,B58:K60,6,0),"")</f>
      </c>
      <c r="Q59" s="138">
        <f>IF(N59=1,VLOOKUP(1,B58:K60,7,0),"")</f>
      </c>
      <c r="R59" s="139">
        <f>IF(N59=1,VLOOKUP(1,B58:K60,8,0),"")</f>
      </c>
      <c r="S59" s="138">
        <f>IF(N59=1,VLOOKUP(1,B58:K60,9,0),"")</f>
      </c>
      <c r="T59" s="138">
        <f>IF(N59=1,VLOOKUP(1,B58:K60,10,0),"")</f>
      </c>
      <c r="V59" s="137" t="str">
        <f>IF(N59=2,VLOOKUP(2,B58:K60,5,0),"")</f>
        <v>JOSÉ MANUEL LORENTE GARCÍA</v>
      </c>
      <c r="W59" s="138">
        <f>IF(N59=2,VLOOKUP(2,B58:K60,6,0),"")</f>
        <v>50</v>
      </c>
      <c r="X59" s="138">
        <f>IF(N59=2,VLOOKUP(2,B58:K60,7,0),"")</f>
        <v>100</v>
      </c>
      <c r="Y59" s="139">
        <f>IF(N59=2,VLOOKUP(2,B58:$K60,8,0),"")</f>
        <v>0.5</v>
      </c>
      <c r="Z59" s="138">
        <f>IF(N59=2,VLOOKUP(2,B58:K60,9,0),"")</f>
        <v>3</v>
      </c>
      <c r="AA59" s="138">
        <f>IF(N59=2,VLOOKUP(2,B58:K60,10,0),"")</f>
        <v>2</v>
      </c>
      <c r="AC59" s="135">
        <f>IF(N59=3,VLOOKUP(3,B58:K60,5,0),"")</f>
      </c>
      <c r="AD59" s="138">
        <f>IF(N59=3,VLOOKUP(3,B58:K60,6,0),"")</f>
      </c>
      <c r="AE59" s="138">
        <f>IF(N59=3,VLOOKUP(3,B58:K60,7,0),"")</f>
      </c>
      <c r="AF59" s="139">
        <f>IF(N59=3,VLOOKUP(3,B58:K60,8,0),"")</f>
      </c>
      <c r="AG59" s="138">
        <f>IF(N59=3,VLOOKUP(3,B58:K60,9,0),"")</f>
      </c>
      <c r="AH59" s="138">
        <f>IF(N59=3,VLOOKUP(3,B58:K60,10,0),"")</f>
      </c>
      <c r="AU59" s="142"/>
      <c r="AV59" s="142"/>
      <c r="AW59" s="142"/>
      <c r="AX59" s="142"/>
      <c r="AY59" s="142"/>
      <c r="AZ59" s="142"/>
    </row>
    <row r="60" spans="2:61" ht="18" thickBot="1">
      <c r="B60" s="179">
        <f>N60</f>
        <v>3</v>
      </c>
      <c r="C60" s="179" t="s">
        <v>89</v>
      </c>
      <c r="D60" s="102">
        <v>57</v>
      </c>
      <c r="E60" s="106">
        <v>3</v>
      </c>
      <c r="F60" s="103" t="str">
        <f>IF(D60="","",VLOOKUP(D60,'Ranquing Inicial'!$B$6:$V$69,2,0))</f>
        <v>JOAN HERNÁNDEZ MÁRQUEZ</v>
      </c>
      <c r="G60" s="106">
        <f>SUM(G51,G55)</f>
        <v>35</v>
      </c>
      <c r="H60" s="106">
        <f>SUM(H50,H54)</f>
        <v>100</v>
      </c>
      <c r="I60" s="118">
        <f>IF(H60="","",G60/H60)</f>
        <v>0.35</v>
      </c>
      <c r="J60" s="106">
        <f>MAX(J51,J55)</f>
        <v>4</v>
      </c>
      <c r="K60" s="108">
        <f>SUM(K51,K55)</f>
        <v>0</v>
      </c>
      <c r="L60" s="201" t="str">
        <f>IF(ISERROR(I60),"",N60&amp;"º")</f>
        <v>3º</v>
      </c>
      <c r="M60" s="112">
        <f>IF(ISERROR(I60),"",SUM(K60,I60/1000,J60/1000000))</f>
        <v>0.000354</v>
      </c>
      <c r="N60" s="133">
        <f>IF(ISERROR(I60),"",RANK(M60,M58:M60))</f>
        <v>3</v>
      </c>
      <c r="O60" s="137">
        <f>IF(N60=1,VLOOKUP(1,B58:K60,5,0),"")</f>
      </c>
      <c r="P60" s="138">
        <f>IF(N60=1,VLOOKUP(1,B58:K60,6,0),"")</f>
      </c>
      <c r="Q60" s="138">
        <f>IF(N60=1,VLOOKUP(1,B58:K60,7,0),"")</f>
      </c>
      <c r="R60" s="139">
        <f>IF(N60=1,VLOOKUP(1,B58:K60,8,0),"")</f>
      </c>
      <c r="S60" s="138">
        <f>IF(N60=1,VLOOKUP(1,B58:K60,9,0),"")</f>
      </c>
      <c r="T60" s="138">
        <f>IF(N60=1,VLOOKUP(1,B58:K60,10,0),"")</f>
      </c>
      <c r="V60" s="135">
        <f>IF(N60=2,VLOOKUP(2,B58:K60,5,0),"")</f>
      </c>
      <c r="W60" s="138">
        <f>IF(N60=2,VLOOKUP(2,B58:K60,6,0),"")</f>
      </c>
      <c r="X60" s="138">
        <f>IF(N60=2,VLOOKUP(2,B58:K60,7,0),"")</f>
      </c>
      <c r="Y60" s="139">
        <f>IF(N60=2,VLOOKUP(2,B58:K60,8,0),"")</f>
      </c>
      <c r="Z60" s="138">
        <f>IF(N60=2,VLOOKUP(2,B58:K60,9,0),"")</f>
      </c>
      <c r="AA60" s="138">
        <f>IF(N60=2,VLOOKUP(2,B58:K60,10,0),"")</f>
      </c>
      <c r="AC60" s="135" t="str">
        <f>IF(N60=3,VLOOKUP(3,B58:K60,5,0),"")</f>
        <v>JOAN HERNÁNDEZ MÁRQUEZ</v>
      </c>
      <c r="AD60" s="138">
        <f>IF(N60=3,VLOOKUP(3,B58:K60,6,0),"")</f>
        <v>35</v>
      </c>
      <c r="AE60" s="138">
        <f>IF(N60=3,VLOOKUP(3,B58:K60,7,0),"")</f>
        <v>100</v>
      </c>
      <c r="AF60" s="139">
        <f>IF(N60=3,VLOOKUP(3,B58:K60,8,0),"")</f>
        <v>0.35</v>
      </c>
      <c r="AG60" s="138">
        <f>IF(N60=3,VLOOKUP(3,B58:K60,9,0),"")</f>
        <v>4</v>
      </c>
      <c r="AH60" s="138">
        <f>IF(N60=3,VLOOKUP(3,B58:K60,10,0),"")</f>
        <v>0</v>
      </c>
      <c r="AL60" s="90"/>
      <c r="AM60" s="90"/>
      <c r="AN60" s="90"/>
      <c r="AO60" s="90"/>
      <c r="AP60" s="90"/>
      <c r="AQ60" s="90"/>
      <c r="AU60" s="141"/>
      <c r="AV60" s="141"/>
      <c r="AW60" s="141"/>
      <c r="AX60" s="141"/>
      <c r="AY60" s="141"/>
      <c r="AZ60" s="141"/>
      <c r="BD60" s="90"/>
      <c r="BE60" s="90"/>
      <c r="BF60" s="90"/>
      <c r="BG60" s="90"/>
      <c r="BH60" s="90"/>
      <c r="BI60" s="90"/>
    </row>
    <row r="61" spans="3:52" ht="12.75" customHeight="1" thickTop="1">
      <c r="C61" s="90"/>
      <c r="D61" s="90"/>
      <c r="E61" s="90"/>
      <c r="F61" s="90"/>
      <c r="G61" s="90"/>
      <c r="H61" s="90"/>
      <c r="I61" s="180">
        <f>MAX(I58:I60)</f>
        <v>0.58</v>
      </c>
      <c r="J61" s="179"/>
      <c r="K61" s="179">
        <f>SUM(K58:K60)</f>
        <v>6</v>
      </c>
      <c r="L61" s="179" t="e">
        <f>MODE(K58:K60)</f>
        <v>#N/A</v>
      </c>
      <c r="AU61" s="142"/>
      <c r="AV61" s="142"/>
      <c r="AW61" s="142"/>
      <c r="AX61" s="142"/>
      <c r="AY61" s="142"/>
      <c r="AZ61" s="142"/>
    </row>
    <row r="62" spans="2:62" s="142" customFormat="1" ht="12.75" customHeight="1">
      <c r="B62" s="181"/>
      <c r="M62" s="141"/>
      <c r="N62" s="183"/>
      <c r="O62" s="182"/>
      <c r="P62" s="183"/>
      <c r="Q62" s="183"/>
      <c r="R62" s="183"/>
      <c r="S62" s="183"/>
      <c r="T62" s="183"/>
      <c r="U62" s="182"/>
      <c r="V62" s="182"/>
      <c r="W62" s="183"/>
      <c r="X62" s="183"/>
      <c r="Y62" s="183"/>
      <c r="Z62" s="183"/>
      <c r="AA62" s="183"/>
      <c r="AB62" s="182"/>
      <c r="AC62" s="182"/>
      <c r="AD62" s="183"/>
      <c r="AE62" s="183"/>
      <c r="AF62" s="183"/>
      <c r="AG62" s="183"/>
      <c r="AH62" s="183"/>
      <c r="AI62" s="143"/>
      <c r="AJ62" s="143"/>
      <c r="AK62" s="141"/>
      <c r="AL62" s="141"/>
      <c r="AM62" s="141"/>
      <c r="AN62" s="141"/>
      <c r="AO62" s="141"/>
      <c r="AP62" s="141"/>
      <c r="AQ62" s="141"/>
      <c r="AR62" s="143"/>
      <c r="AS62" s="143"/>
      <c r="AT62" s="141"/>
      <c r="AU62" s="141"/>
      <c r="AV62" s="141"/>
      <c r="AW62" s="141"/>
      <c r="AX62" s="141"/>
      <c r="AY62" s="141"/>
      <c r="AZ62" s="141"/>
      <c r="BA62" s="182"/>
      <c r="BB62" s="143"/>
      <c r="BC62" s="141"/>
      <c r="BD62" s="141"/>
      <c r="BE62" s="141"/>
      <c r="BF62" s="141"/>
      <c r="BG62" s="141"/>
      <c r="BH62" s="141"/>
      <c r="BI62" s="141"/>
      <c r="BJ62" s="182"/>
    </row>
    <row r="63" spans="6:52" ht="12.75" thickBot="1">
      <c r="F63" s="89" t="s">
        <v>262</v>
      </c>
      <c r="G63" s="89" t="s">
        <v>263</v>
      </c>
      <c r="H63" s="89" t="s">
        <v>264</v>
      </c>
      <c r="I63" s="89" t="s">
        <v>309</v>
      </c>
      <c r="J63" s="89" t="s">
        <v>266</v>
      </c>
      <c r="K63" s="89" t="s">
        <v>301</v>
      </c>
      <c r="AU63" s="142"/>
      <c r="AV63" s="142"/>
      <c r="AW63" s="142"/>
      <c r="AX63" s="142"/>
      <c r="AY63" s="142"/>
      <c r="AZ63" s="142"/>
    </row>
    <row r="64" spans="3:52" ht="15.75" customHeight="1" thickTop="1">
      <c r="C64" s="636" t="str">
        <f>'Fase Grups'!N5</f>
        <v>J</v>
      </c>
      <c r="D64" s="123">
        <f>'Fase Grups'!B14</f>
        <v>0.4583333333333333</v>
      </c>
      <c r="E64" s="91" t="s">
        <v>94</v>
      </c>
      <c r="F64" s="126" t="str">
        <f aca="true" t="shared" si="4" ref="F64:F69">VLOOKUP(E64,$C$72:$F$74,4,1)</f>
        <v>MANUEL SOTOMAYOR PLATA</v>
      </c>
      <c r="G64" s="93">
        <v>27</v>
      </c>
      <c r="H64" s="639">
        <v>50</v>
      </c>
      <c r="I64" s="94">
        <f>IF(H64="","",G64/H64)</f>
        <v>0.54</v>
      </c>
      <c r="J64" s="93">
        <v>3</v>
      </c>
      <c r="K64" s="95">
        <f>IF(H64="","",IF(G64&lt;G65,0,IF(G64&gt;G65,2,1)))</f>
        <v>2</v>
      </c>
      <c r="L64" s="96"/>
      <c r="AU64" s="142"/>
      <c r="AV64" s="142"/>
      <c r="AW64" s="142"/>
      <c r="AX64" s="142"/>
      <c r="AY64" s="142"/>
      <c r="AZ64" s="142"/>
    </row>
    <row r="65" spans="3:52" ht="15.75" customHeight="1" thickBot="1">
      <c r="C65" s="637"/>
      <c r="D65" s="124" t="str">
        <f>CONCATENATE("Mesa ",'Fase Grups'!D12)</f>
        <v>Mesa 1</v>
      </c>
      <c r="E65" s="97" t="s">
        <v>95</v>
      </c>
      <c r="F65" s="127" t="str">
        <f t="shared" si="4"/>
        <v>ANTONI ROSES GUITART</v>
      </c>
      <c r="G65" s="99">
        <v>19</v>
      </c>
      <c r="H65" s="640"/>
      <c r="I65" s="100">
        <f>IF(H64="","",G65/H64)</f>
        <v>0.38</v>
      </c>
      <c r="J65" s="99">
        <v>3</v>
      </c>
      <c r="K65" s="101">
        <f>IF(H64="","",IF(G65&lt;G64,0,IF(G65&gt;G64,2,1)))</f>
        <v>0</v>
      </c>
      <c r="L65" s="96"/>
      <c r="AU65" s="142"/>
      <c r="AV65" s="142"/>
      <c r="AW65" s="142"/>
      <c r="AX65" s="142"/>
      <c r="AY65" s="142"/>
      <c r="AZ65" s="142"/>
    </row>
    <row r="66" spans="3:52" ht="15.75" customHeight="1" thickTop="1">
      <c r="C66" s="637"/>
      <c r="D66" s="123">
        <v>0.7916666666666666</v>
      </c>
      <c r="E66" s="91" t="s">
        <v>93</v>
      </c>
      <c r="F66" s="126" t="str">
        <f t="shared" si="4"/>
        <v>RAFAEL SOTO SEGURA</v>
      </c>
      <c r="G66" s="93">
        <v>27</v>
      </c>
      <c r="H66" s="639">
        <v>50</v>
      </c>
      <c r="I66" s="94">
        <f>IF(H66="","",G66/H66)</f>
        <v>0.54</v>
      </c>
      <c r="J66" s="93">
        <v>6</v>
      </c>
      <c r="K66" s="95">
        <f>IF(H66="","",IF(G66&lt;G67,0,IF(G66&gt;G67,2,1)))</f>
        <v>2</v>
      </c>
      <c r="L66" s="96"/>
      <c r="AU66" s="142"/>
      <c r="AV66" s="142"/>
      <c r="AW66" s="142"/>
      <c r="AX66" s="142"/>
      <c r="AY66" s="142"/>
      <c r="AZ66" s="142"/>
    </row>
    <row r="67" spans="3:52" ht="15.75" customHeight="1" thickBot="1">
      <c r="C67" s="637"/>
      <c r="D67" s="197" t="s">
        <v>305</v>
      </c>
      <c r="E67" s="102" t="s">
        <v>94</v>
      </c>
      <c r="F67" s="128" t="str">
        <f t="shared" si="4"/>
        <v>MANUEL SOTOMAYOR PLATA</v>
      </c>
      <c r="G67" s="99">
        <v>23</v>
      </c>
      <c r="H67" s="640"/>
      <c r="I67" s="100">
        <f>IF(H66="","",G67/H66)</f>
        <v>0.46</v>
      </c>
      <c r="J67" s="99">
        <v>4</v>
      </c>
      <c r="K67" s="101">
        <f>IF(H66="","",IF(G67&lt;G66,0,IF(G67&gt;G66,2,1)))</f>
        <v>0</v>
      </c>
      <c r="L67" s="96"/>
      <c r="AU67" s="142"/>
      <c r="AV67" s="142"/>
      <c r="AW67" s="142"/>
      <c r="AX67" s="142"/>
      <c r="AY67" s="142"/>
      <c r="AZ67" s="142"/>
    </row>
    <row r="68" spans="3:52" ht="15.75" customHeight="1" thickTop="1">
      <c r="C68" s="637"/>
      <c r="D68" s="196">
        <v>0.6666666666666666</v>
      </c>
      <c r="E68" s="104" t="s">
        <v>93</v>
      </c>
      <c r="F68" s="129" t="str">
        <f t="shared" si="4"/>
        <v>RAFAEL SOTO SEGURA</v>
      </c>
      <c r="G68" s="93">
        <v>30</v>
      </c>
      <c r="H68" s="639">
        <v>31</v>
      </c>
      <c r="I68" s="94">
        <f>IF(H68="","",G68/H68)</f>
        <v>0.967741935483871</v>
      </c>
      <c r="J68" s="93">
        <v>3</v>
      </c>
      <c r="K68" s="95">
        <f>IF(H68="","",IF(G68&lt;G69,0,IF(G68&gt;G69,2,1)))</f>
        <v>2</v>
      </c>
      <c r="L68" s="96"/>
      <c r="AU68" s="142"/>
      <c r="AV68" s="142"/>
      <c r="AW68" s="142"/>
      <c r="AX68" s="142"/>
      <c r="AY68" s="142"/>
      <c r="AZ68" s="142"/>
    </row>
    <row r="69" spans="3:52" ht="15.75" customHeight="1" thickBot="1">
      <c r="C69" s="638"/>
      <c r="D69" s="197" t="s">
        <v>305</v>
      </c>
      <c r="E69" s="102" t="s">
        <v>95</v>
      </c>
      <c r="F69" s="128" t="str">
        <f t="shared" si="4"/>
        <v>ANTONI ROSES GUITART</v>
      </c>
      <c r="G69" s="106">
        <v>13</v>
      </c>
      <c r="H69" s="640"/>
      <c r="I69" s="107">
        <f>IF(H68="","",G69/H68)</f>
        <v>0.41935483870967744</v>
      </c>
      <c r="J69" s="106">
        <v>4</v>
      </c>
      <c r="K69" s="108">
        <f>IF(H68="","",IF(G69&lt;G68,0,IF(G69&gt;G68,2,1)))</f>
        <v>0</v>
      </c>
      <c r="L69" s="96"/>
      <c r="AU69" s="142"/>
      <c r="AV69" s="142"/>
      <c r="AW69" s="142"/>
      <c r="AX69" s="142"/>
      <c r="AY69" s="142"/>
      <c r="AZ69" s="142"/>
    </row>
    <row r="70" spans="2:62" s="90" customFormat="1" ht="11.25" customHeight="1">
      <c r="B70" s="179"/>
      <c r="G70" s="179">
        <f>SUM(G64:G69)</f>
        <v>139</v>
      </c>
      <c r="N70" s="133"/>
      <c r="O70" s="135"/>
      <c r="P70" s="133"/>
      <c r="Q70" s="133"/>
      <c r="R70" s="133"/>
      <c r="S70" s="133"/>
      <c r="T70" s="133"/>
      <c r="U70" s="136"/>
      <c r="V70" s="135"/>
      <c r="W70" s="133"/>
      <c r="X70" s="133"/>
      <c r="Y70" s="133"/>
      <c r="Z70" s="133"/>
      <c r="AA70" s="133"/>
      <c r="AB70" s="136"/>
      <c r="AC70" s="135"/>
      <c r="AD70" s="133"/>
      <c r="AE70" s="133"/>
      <c r="AF70" s="133"/>
      <c r="AG70" s="133"/>
      <c r="AH70" s="133"/>
      <c r="AI70" s="132"/>
      <c r="AJ70" s="143"/>
      <c r="AK70" s="141"/>
      <c r="AL70" s="89"/>
      <c r="AM70" s="89"/>
      <c r="AN70" s="89"/>
      <c r="AO70" s="89"/>
      <c r="AP70" s="89"/>
      <c r="AQ70" s="89"/>
      <c r="AR70" s="132"/>
      <c r="AS70" s="143"/>
      <c r="AT70" s="141"/>
      <c r="AU70" s="142"/>
      <c r="AV70" s="142"/>
      <c r="AW70" s="142"/>
      <c r="AX70" s="142"/>
      <c r="AY70" s="142"/>
      <c r="AZ70" s="142"/>
      <c r="BA70" s="136"/>
      <c r="BB70" s="143"/>
      <c r="BC70" s="141"/>
      <c r="BD70" s="89"/>
      <c r="BE70" s="89"/>
      <c r="BF70" s="89"/>
      <c r="BG70" s="89"/>
      <c r="BH70" s="89"/>
      <c r="BI70" s="89"/>
      <c r="BJ70" s="136"/>
    </row>
    <row r="71" spans="2:61" ht="12.75" thickBot="1">
      <c r="B71" s="179" t="s">
        <v>271</v>
      </c>
      <c r="D71" s="119" t="s">
        <v>268</v>
      </c>
      <c r="E71" s="110" t="str">
        <f>C64</f>
        <v>J</v>
      </c>
      <c r="F71" s="89" t="s">
        <v>262</v>
      </c>
      <c r="G71" s="89" t="s">
        <v>263</v>
      </c>
      <c r="H71" s="89" t="s">
        <v>264</v>
      </c>
      <c r="I71" s="89" t="s">
        <v>309</v>
      </c>
      <c r="J71" s="89" t="s">
        <v>266</v>
      </c>
      <c r="K71" s="89" t="s">
        <v>301</v>
      </c>
      <c r="L71" s="89" t="s">
        <v>269</v>
      </c>
      <c r="M71" s="109" t="s">
        <v>272</v>
      </c>
      <c r="N71" s="133" t="s">
        <v>270</v>
      </c>
      <c r="AL71" s="90"/>
      <c r="AM71" s="90"/>
      <c r="AN71" s="90"/>
      <c r="AO71" s="90"/>
      <c r="AP71" s="90"/>
      <c r="AQ71" s="90"/>
      <c r="AU71" s="141"/>
      <c r="AV71" s="141"/>
      <c r="AW71" s="141"/>
      <c r="AX71" s="141"/>
      <c r="AY71" s="141"/>
      <c r="AZ71" s="141"/>
      <c r="BD71" s="90"/>
      <c r="BE71" s="90"/>
      <c r="BF71" s="90"/>
      <c r="BG71" s="90"/>
      <c r="BH71" s="90"/>
      <c r="BI71" s="90"/>
    </row>
    <row r="72" spans="2:52" ht="18" thickTop="1">
      <c r="B72" s="179">
        <f>N72</f>
        <v>1</v>
      </c>
      <c r="C72" s="179" t="str">
        <f>CONCATENATE("J",E72)</f>
        <v>J1</v>
      </c>
      <c r="D72" s="91">
        <v>26</v>
      </c>
      <c r="E72" s="93">
        <v>1</v>
      </c>
      <c r="F72" s="92" t="str">
        <f>IF(D72="","",VLOOKUP(D72,'Ranquing Inicial'!$B$6:$V$69,2,0))</f>
        <v>RAFAEL SOTO SEGURA</v>
      </c>
      <c r="G72" s="93">
        <f>SUM(G66,G68)</f>
        <v>57</v>
      </c>
      <c r="H72" s="93">
        <f>SUM(H66,H68)</f>
        <v>81</v>
      </c>
      <c r="I72" s="111">
        <f>IF(H72="","",G72/H72)</f>
        <v>0.7037037037037037</v>
      </c>
      <c r="J72" s="93">
        <f>MAX(J66,J68)</f>
        <v>6</v>
      </c>
      <c r="K72" s="95">
        <f>SUM(K66,K68)</f>
        <v>4</v>
      </c>
      <c r="L72" s="200" t="str">
        <f>IF(ISERROR(I72),"",N72&amp;"º")</f>
        <v>1º</v>
      </c>
      <c r="M72" s="112">
        <f>IF(ISERROR(I72),"",SUM(K72,I72/1000,J72/1000000))</f>
        <v>4.000709703703704</v>
      </c>
      <c r="N72" s="133">
        <f>IF(ISERROR(I72),"",RANK(M72,M72:M74))</f>
        <v>1</v>
      </c>
      <c r="O72" s="137" t="str">
        <f>IF(N72=1,VLOOKUP(1,B72:K74,5,0),"")</f>
        <v>RAFAEL SOTO SEGURA</v>
      </c>
      <c r="P72" s="138">
        <f>IF(N72=1,VLOOKUP(1,B72:K74,6,0),"")</f>
        <v>57</v>
      </c>
      <c r="Q72" s="138">
        <f>IF(N72=1,VLOOKUP(1,B72:K74,7,0),"")</f>
        <v>81</v>
      </c>
      <c r="R72" s="139">
        <f>IF(N72=1,VLOOKUP(1,B72:K74,8,0),"")</f>
        <v>0.7037037037037037</v>
      </c>
      <c r="S72" s="138">
        <f>IF(N72=1,VLOOKUP(1,B72:K74,9,0),"")</f>
        <v>6</v>
      </c>
      <c r="T72" s="138">
        <f>IF(N72=1,VLOOKUP(1,B72:K74,10,0),"")</f>
        <v>4</v>
      </c>
      <c r="V72" s="137">
        <f>IF(N72=2,VLOOKUP(2,B72:K74,5,0),"")</f>
      </c>
      <c r="W72" s="138">
        <f>IF(N72=2,VLOOKUP(2,B72:K74,6,0),"")</f>
      </c>
      <c r="X72" s="138">
        <f>IF(N72=2,VLOOKUP(2,B72:K74,7,0),"")</f>
      </c>
      <c r="Y72" s="139">
        <f>IF(N72=2,VLOOKUP(2,B72:K74,8,0),"")</f>
      </c>
      <c r="Z72" s="138">
        <f>IF(N72=2,VLOOKUP(2,B72:K74,9,0),"")</f>
      </c>
      <c r="AA72" s="138">
        <f>IF(N72=2,VLOOKUP(2,$B$16:$K$18,10,0),"")</f>
      </c>
      <c r="AC72" s="135">
        <f>IF(N72=3,VLOOKUP(3,B72:K74,5,0),"")</f>
      </c>
      <c r="AD72" s="138">
        <f>IF(N72=3,VLOOKUP(3,B72:K74,6,0),"")</f>
      </c>
      <c r="AE72" s="138">
        <f>IF(N72=3,VLOOKUP(3,B72:K74,7,0),"")</f>
      </c>
      <c r="AF72" s="139">
        <f>IF(N72=3,VLOOKUP(3,B72:K74,8,0),"")</f>
      </c>
      <c r="AG72" s="138">
        <f>IF(N72=3,VLOOKUP(3,B72:K74,9,0),"")</f>
      </c>
      <c r="AH72" s="138">
        <f>IF(N72=3,VLOOKUP(3,B72:K74,10,0),"")</f>
      </c>
      <c r="AU72" s="142"/>
      <c r="AV72" s="142"/>
      <c r="AW72" s="142"/>
      <c r="AX72" s="142"/>
      <c r="AY72" s="142"/>
      <c r="AZ72" s="142"/>
    </row>
    <row r="73" spans="2:52" ht="16.5">
      <c r="B73" s="179">
        <f>N73</f>
        <v>2</v>
      </c>
      <c r="C73" s="179" t="str">
        <f>CONCATENATE("J",E73)</f>
        <v>J2</v>
      </c>
      <c r="D73" s="113">
        <v>39</v>
      </c>
      <c r="E73" s="114">
        <v>2</v>
      </c>
      <c r="F73" s="115" t="str">
        <f>IF(D73="","",VLOOKUP(D73,'Ranquing Inicial'!$B$6:$V$69,2,0))</f>
        <v>MANUEL SOTOMAYOR PLATA</v>
      </c>
      <c r="G73" s="114">
        <f>SUM(G64,G67)</f>
        <v>50</v>
      </c>
      <c r="H73" s="114">
        <f>SUM(H64,H66)</f>
        <v>100</v>
      </c>
      <c r="I73" s="116">
        <f>IF(H73="","",G73/H73)</f>
        <v>0.5</v>
      </c>
      <c r="J73" s="114">
        <f>MAX(J64,J67)</f>
        <v>4</v>
      </c>
      <c r="K73" s="117">
        <f>SUM(K64,K67)</f>
        <v>2</v>
      </c>
      <c r="L73" s="199" t="str">
        <f>IF(ISERROR(I73),"",N73&amp;"º")</f>
        <v>2º</v>
      </c>
      <c r="M73" s="112">
        <f>IF(ISERROR(I73),"",SUM(K73,I73/1000,J73/1000000))</f>
        <v>2.0005040000000003</v>
      </c>
      <c r="N73" s="133">
        <f>IF(ISERROR(I73),"",RANK(M73,M72:M74))</f>
        <v>2</v>
      </c>
      <c r="O73" s="137">
        <f>IF(N73=1,VLOOKUP(1,B72:K74,5,0),"")</f>
      </c>
      <c r="P73" s="138">
        <f>IF(N73=1,VLOOKUP(1,B72:K74,6,0),"")</f>
      </c>
      <c r="Q73" s="138">
        <f>IF(N73=1,VLOOKUP(1,B72:K74,7,0),"")</f>
      </c>
      <c r="R73" s="139">
        <f>IF(N73=1,VLOOKUP(1,B72:K74,8,0),"")</f>
      </c>
      <c r="S73" s="138">
        <f>IF(N73=1,VLOOKUP(1,B72:K74,9,0),"")</f>
      </c>
      <c r="T73" s="138">
        <f>IF(N73=1,VLOOKUP(1,B72:K74,10,0),"")</f>
      </c>
      <c r="V73" s="137" t="str">
        <f>IF(N73=2,VLOOKUP(2,B72:K74,5,0),"")</f>
        <v>MANUEL SOTOMAYOR PLATA</v>
      </c>
      <c r="W73" s="138">
        <f>IF(N73=2,VLOOKUP(2,B72:K74,6,0),"")</f>
        <v>50</v>
      </c>
      <c r="X73" s="138">
        <f>IF(N73=2,VLOOKUP(2,B72:K74,7,0),"")</f>
        <v>100</v>
      </c>
      <c r="Y73" s="139">
        <f>IF(N73=2,VLOOKUP(2,B72:$K74,8,0),"")</f>
        <v>0.5</v>
      </c>
      <c r="Z73" s="138">
        <f>IF(N73=2,VLOOKUP(2,B72:K74,9,0),"")</f>
        <v>4</v>
      </c>
      <c r="AA73" s="138">
        <f>IF(N73=2,VLOOKUP(2,B72:K74,10,0),"")</f>
        <v>2</v>
      </c>
      <c r="AC73" s="135">
        <f>IF(N73=3,VLOOKUP(3,B72:K74,5,0),"")</f>
      </c>
      <c r="AD73" s="138">
        <f>IF(N73=3,VLOOKUP(3,B72:K74,6,0),"")</f>
      </c>
      <c r="AE73" s="138">
        <f>IF(N73=3,VLOOKUP(3,B72:K74,7,0),"")</f>
      </c>
      <c r="AF73" s="139">
        <f>IF(N73=3,VLOOKUP(3,B72:K74,8,0),"")</f>
      </c>
      <c r="AG73" s="138">
        <f>IF(N73=3,VLOOKUP(3,B72:K74,9,0),"")</f>
      </c>
      <c r="AH73" s="138">
        <f>IF(N73=3,VLOOKUP(3,B72:K74,10,0),"")</f>
      </c>
      <c r="AU73" s="142"/>
      <c r="AV73" s="142"/>
      <c r="AW73" s="142"/>
      <c r="AX73" s="142"/>
      <c r="AY73" s="142"/>
      <c r="AZ73" s="142"/>
    </row>
    <row r="74" spans="2:61" ht="18" thickBot="1">
      <c r="B74" s="179">
        <f>N74</f>
        <v>3</v>
      </c>
      <c r="C74" s="179" t="str">
        <f>CONCATENATE("J",E74)</f>
        <v>J3</v>
      </c>
      <c r="D74" s="102">
        <v>55</v>
      </c>
      <c r="E74" s="106">
        <v>3</v>
      </c>
      <c r="F74" s="103" t="str">
        <f>IF(D74="","",VLOOKUP(D74,'Ranquing Inicial'!$B$6:$V$69,2,0))</f>
        <v>ANTONI ROSES GUITART</v>
      </c>
      <c r="G74" s="106">
        <f>SUM(G65,G69)</f>
        <v>32</v>
      </c>
      <c r="H74" s="106">
        <f>SUM(H64,H68)</f>
        <v>81</v>
      </c>
      <c r="I74" s="118">
        <f>IF(H74="","",G74/H74)</f>
        <v>0.3950617283950617</v>
      </c>
      <c r="J74" s="106">
        <f>MAX(J65,J69)</f>
        <v>4</v>
      </c>
      <c r="K74" s="108">
        <f>SUM(K65,K69)</f>
        <v>0</v>
      </c>
      <c r="L74" s="201" t="str">
        <f>IF(ISERROR(I74),"",N74&amp;"º")</f>
        <v>3º</v>
      </c>
      <c r="M74" s="112">
        <f>IF(ISERROR(I74),"",SUM(K74,I74/1000,J74/1000000))</f>
        <v>0.0003990617283950617</v>
      </c>
      <c r="N74" s="133">
        <f>IF(ISERROR(I74),"",RANK(M74,M72:M74))</f>
        <v>3</v>
      </c>
      <c r="O74" s="137">
        <f>IF(N74=1,VLOOKUP(1,B72:K74,5,0),"")</f>
      </c>
      <c r="P74" s="138">
        <f>IF(N74=1,VLOOKUP(1,B72:K74,6,0),"")</f>
      </c>
      <c r="Q74" s="138">
        <f>IF(N74=1,VLOOKUP(1,B72:K74,7,0),"")</f>
      </c>
      <c r="R74" s="139">
        <f>IF(N74=1,VLOOKUP(1,B72:K74,8,0),"")</f>
      </c>
      <c r="S74" s="138">
        <f>IF(N74=1,VLOOKUP(1,B72:K74,9,0),"")</f>
      </c>
      <c r="T74" s="138">
        <f>IF(N74=1,VLOOKUP(1,B72:K74,10,0),"")</f>
      </c>
      <c r="V74" s="135">
        <f>IF(N74=2,VLOOKUP(2,B72:K74,5,0),"")</f>
      </c>
      <c r="W74" s="138">
        <f>IF(N74=2,VLOOKUP(2,B72:K74,6,0),"")</f>
      </c>
      <c r="X74" s="138">
        <f>IF(N74=2,VLOOKUP(2,B72:K74,7,0),"")</f>
      </c>
      <c r="Y74" s="139">
        <f>IF(N74=2,VLOOKUP(2,B72:K74,8,0),"")</f>
      </c>
      <c r="Z74" s="138">
        <f>IF(N74=2,VLOOKUP(2,B72:K74,9,0),"")</f>
      </c>
      <c r="AA74" s="138">
        <f>IF(N74=2,VLOOKUP(2,B72:K74,10,0),"")</f>
      </c>
      <c r="AC74" s="135" t="str">
        <f>IF(N74=3,VLOOKUP(3,B72:K74,5,0),"")</f>
        <v>ANTONI ROSES GUITART</v>
      </c>
      <c r="AD74" s="138">
        <f>IF(N74=3,VLOOKUP(3,B72:K74,6,0),"")</f>
        <v>32</v>
      </c>
      <c r="AE74" s="138">
        <f>IF(N74=3,VLOOKUP(3,B72:K74,7,0),"")</f>
        <v>81</v>
      </c>
      <c r="AF74" s="139">
        <f>IF(N74=3,VLOOKUP(3,B72:K74,8,0),"")</f>
        <v>0.3950617283950617</v>
      </c>
      <c r="AG74" s="138">
        <f>IF(N74=3,VLOOKUP(3,B72:K74,9,0),"")</f>
        <v>4</v>
      </c>
      <c r="AH74" s="138">
        <f>IF(N74=3,VLOOKUP(3,B72:K74,10,0),"")</f>
        <v>0</v>
      </c>
      <c r="AL74" s="130"/>
      <c r="AM74" s="130"/>
      <c r="AN74" s="130"/>
      <c r="AO74" s="130"/>
      <c r="AP74" s="130"/>
      <c r="AQ74" s="130"/>
      <c r="AU74" s="130"/>
      <c r="AV74" s="130"/>
      <c r="AW74" s="130"/>
      <c r="AX74" s="130"/>
      <c r="AY74" s="130"/>
      <c r="AZ74" s="130"/>
      <c r="BD74" s="130"/>
      <c r="BE74" s="130"/>
      <c r="BF74" s="130"/>
      <c r="BG74" s="130"/>
      <c r="BH74" s="130"/>
      <c r="BI74" s="130"/>
    </row>
    <row r="75" spans="2:62" s="90" customFormat="1" ht="12.75" thickTop="1">
      <c r="B75" s="179"/>
      <c r="I75" s="198">
        <f>MAX(I72:I74)</f>
        <v>0.7037037037037037</v>
      </c>
      <c r="J75" s="181"/>
      <c r="K75" s="181">
        <f>SUM(K72:K74)</f>
        <v>6</v>
      </c>
      <c r="L75" s="181" t="e">
        <f>MODE(K72:K74)</f>
        <v>#N/A</v>
      </c>
      <c r="N75" s="133"/>
      <c r="O75" s="135"/>
      <c r="P75" s="133"/>
      <c r="Q75" s="133"/>
      <c r="R75" s="133"/>
      <c r="S75" s="133"/>
      <c r="T75" s="133"/>
      <c r="U75" s="136"/>
      <c r="V75" s="135"/>
      <c r="W75" s="133"/>
      <c r="X75" s="133"/>
      <c r="Y75" s="133"/>
      <c r="Z75" s="133"/>
      <c r="AA75" s="133"/>
      <c r="AB75" s="136"/>
      <c r="AC75" s="135"/>
      <c r="AD75" s="133"/>
      <c r="AE75" s="133"/>
      <c r="AF75" s="133"/>
      <c r="AG75" s="133"/>
      <c r="AH75" s="133"/>
      <c r="AI75" s="132"/>
      <c r="AJ75" s="143"/>
      <c r="AK75" s="141"/>
      <c r="AL75" s="89"/>
      <c r="AM75" s="89"/>
      <c r="AN75" s="89"/>
      <c r="AO75" s="89"/>
      <c r="AP75" s="89"/>
      <c r="AQ75" s="89"/>
      <c r="AR75" s="132"/>
      <c r="AS75" s="143"/>
      <c r="AT75" s="141"/>
      <c r="AU75" s="142"/>
      <c r="AV75" s="142"/>
      <c r="AW75" s="142"/>
      <c r="AX75" s="142"/>
      <c r="AY75" s="142"/>
      <c r="AZ75" s="142"/>
      <c r="BA75" s="136"/>
      <c r="BB75" s="143"/>
      <c r="BC75" s="141"/>
      <c r="BD75" s="89"/>
      <c r="BE75" s="89"/>
      <c r="BF75" s="89"/>
      <c r="BG75" s="89"/>
      <c r="BH75" s="89"/>
      <c r="BI75" s="89"/>
      <c r="BJ75" s="136"/>
    </row>
    <row r="76" spans="47:52" ht="12">
      <c r="AU76" s="142"/>
      <c r="AV76" s="142"/>
      <c r="AW76" s="142"/>
      <c r="AX76" s="142"/>
      <c r="AY76" s="142"/>
      <c r="AZ76" s="142"/>
    </row>
    <row r="77" spans="6:52" ht="12.75" thickBot="1">
      <c r="F77" s="89" t="s">
        <v>262</v>
      </c>
      <c r="G77" s="89" t="s">
        <v>263</v>
      </c>
      <c r="H77" s="89" t="s">
        <v>264</v>
      </c>
      <c r="I77" s="89" t="s">
        <v>309</v>
      </c>
      <c r="J77" s="89" t="s">
        <v>266</v>
      </c>
      <c r="K77" s="89" t="s">
        <v>301</v>
      </c>
      <c r="AU77" s="142"/>
      <c r="AV77" s="142"/>
      <c r="AW77" s="142"/>
      <c r="AX77" s="142"/>
      <c r="AY77" s="142"/>
      <c r="AZ77" s="142"/>
    </row>
    <row r="78" spans="3:52" ht="15.75" customHeight="1" thickTop="1">
      <c r="C78" s="636" t="str">
        <f>'Fase Grups'!P5</f>
        <v>L</v>
      </c>
      <c r="D78" s="123">
        <f>D64</f>
        <v>0.4583333333333333</v>
      </c>
      <c r="E78" s="91" t="s">
        <v>100</v>
      </c>
      <c r="F78" s="92" t="str">
        <f aca="true" t="shared" si="5" ref="F78:F83">VLOOKUP(E78,$C$86:$F$88,4,1)</f>
        <v>RAMÓN ARBIOL MORERA</v>
      </c>
      <c r="G78" s="93">
        <v>30</v>
      </c>
      <c r="H78" s="639">
        <v>46</v>
      </c>
      <c r="I78" s="94">
        <f>IF(H78="","",G78/H78)</f>
        <v>0.6521739130434783</v>
      </c>
      <c r="J78" s="93">
        <v>4</v>
      </c>
      <c r="K78" s="95">
        <f>IF(H78="","",IF(G78&lt;G79,0,IF(G78&gt;G79,2,1)))</f>
        <v>2</v>
      </c>
      <c r="L78" s="96"/>
      <c r="AU78" s="142"/>
      <c r="AV78" s="142"/>
      <c r="AW78" s="142"/>
      <c r="AX78" s="142"/>
      <c r="AY78" s="142"/>
      <c r="AZ78" s="142"/>
    </row>
    <row r="79" spans="3:52" ht="15.75" customHeight="1" thickBot="1">
      <c r="C79" s="637"/>
      <c r="D79" s="124" t="str">
        <f>CONCATENATE("Mesa ",'Fase Grups'!F12)</f>
        <v>Mesa 2</v>
      </c>
      <c r="E79" s="97" t="s">
        <v>101</v>
      </c>
      <c r="F79" s="98" t="str">
        <f t="shared" si="5"/>
        <v>ENRIC BAS PASTOR</v>
      </c>
      <c r="G79" s="99">
        <v>22</v>
      </c>
      <c r="H79" s="640"/>
      <c r="I79" s="100">
        <f>IF(H78="","",G79/H78)</f>
        <v>0.4782608695652174</v>
      </c>
      <c r="J79" s="99">
        <v>4</v>
      </c>
      <c r="K79" s="101">
        <f>IF(H78="","",IF(G79&lt;G78,0,IF(G79&gt;G78,2,1)))</f>
        <v>0</v>
      </c>
      <c r="L79" s="96"/>
      <c r="AU79" s="142"/>
      <c r="AV79" s="142"/>
      <c r="AW79" s="142"/>
      <c r="AX79" s="142"/>
      <c r="AY79" s="142"/>
      <c r="AZ79" s="142"/>
    </row>
    <row r="80" spans="3:52" ht="15.75" customHeight="1" thickTop="1">
      <c r="C80" s="637"/>
      <c r="D80" s="123">
        <v>0.7916666666666666</v>
      </c>
      <c r="E80" s="91" t="s">
        <v>99</v>
      </c>
      <c r="F80" s="92" t="str">
        <f t="shared" si="5"/>
        <v>JORDI OLIVER SINCA</v>
      </c>
      <c r="G80" s="93">
        <v>22</v>
      </c>
      <c r="H80" s="639">
        <v>50</v>
      </c>
      <c r="I80" s="94">
        <f>IF(H80="","",G80/H80)</f>
        <v>0.44</v>
      </c>
      <c r="J80" s="93">
        <v>2</v>
      </c>
      <c r="K80" s="95">
        <f>IF(H80="","",IF(G80&lt;G81,0,IF(G80&gt;G81,2,1)))</f>
        <v>0</v>
      </c>
      <c r="L80" s="96"/>
      <c r="AU80" s="142"/>
      <c r="AV80" s="142"/>
      <c r="AW80" s="142"/>
      <c r="AX80" s="142"/>
      <c r="AY80" s="142"/>
      <c r="AZ80" s="142"/>
    </row>
    <row r="81" spans="3:52" ht="15.75" customHeight="1" thickBot="1">
      <c r="C81" s="637"/>
      <c r="D81" s="197" t="s">
        <v>306</v>
      </c>
      <c r="E81" s="102" t="s">
        <v>100</v>
      </c>
      <c r="F81" s="103" t="str">
        <f t="shared" si="5"/>
        <v>RAMÓN ARBIOL MORERA</v>
      </c>
      <c r="G81" s="99">
        <v>24</v>
      </c>
      <c r="H81" s="640"/>
      <c r="I81" s="100">
        <f>IF(H80="","",G81/H80)</f>
        <v>0.48</v>
      </c>
      <c r="J81" s="99">
        <v>3</v>
      </c>
      <c r="K81" s="101">
        <f>IF(H80="","",IF(G81&lt;G80,0,IF(G81&gt;G80,2,1)))</f>
        <v>2</v>
      </c>
      <c r="L81" s="96"/>
      <c r="AU81" s="142"/>
      <c r="AV81" s="142"/>
      <c r="AW81" s="142"/>
      <c r="AX81" s="142"/>
      <c r="AY81" s="142"/>
      <c r="AZ81" s="142"/>
    </row>
    <row r="82" spans="3:61" ht="15.75" customHeight="1" thickTop="1">
      <c r="C82" s="637"/>
      <c r="D82" s="196">
        <v>0.6666666666666666</v>
      </c>
      <c r="E82" s="104" t="s">
        <v>99</v>
      </c>
      <c r="F82" s="105" t="str">
        <f t="shared" si="5"/>
        <v>JORDI OLIVER SINCA</v>
      </c>
      <c r="G82" s="93">
        <v>30</v>
      </c>
      <c r="H82" s="639">
        <v>44</v>
      </c>
      <c r="I82" s="94">
        <f>IF(H82="","",G82/H82)</f>
        <v>0.6818181818181818</v>
      </c>
      <c r="J82" s="93">
        <v>6</v>
      </c>
      <c r="K82" s="95">
        <f>IF(H82="","",IF(G82&lt;G83,0,IF(G82&gt;G83,2,1)))</f>
        <v>2</v>
      </c>
      <c r="L82" s="96"/>
      <c r="AL82" s="90"/>
      <c r="AM82" s="90"/>
      <c r="AN82" s="90"/>
      <c r="AO82" s="90"/>
      <c r="AP82" s="90"/>
      <c r="AQ82" s="90"/>
      <c r="AU82" s="141"/>
      <c r="AV82" s="141"/>
      <c r="AW82" s="141"/>
      <c r="AX82" s="141"/>
      <c r="AY82" s="141"/>
      <c r="AZ82" s="141"/>
      <c r="BD82" s="90"/>
      <c r="BE82" s="90"/>
      <c r="BF82" s="90"/>
      <c r="BG82" s="90"/>
      <c r="BH82" s="90"/>
      <c r="BI82" s="90"/>
    </row>
    <row r="83" spans="3:52" ht="15.75" customHeight="1" thickBot="1">
      <c r="C83" s="638"/>
      <c r="D83" s="197" t="s">
        <v>306</v>
      </c>
      <c r="E83" s="102" t="s">
        <v>101</v>
      </c>
      <c r="F83" s="103" t="str">
        <f t="shared" si="5"/>
        <v>ENRIC BAS PASTOR</v>
      </c>
      <c r="G83" s="106">
        <v>14</v>
      </c>
      <c r="H83" s="640"/>
      <c r="I83" s="107">
        <f>IF(H82="","",G83/H82)</f>
        <v>0.3181818181818182</v>
      </c>
      <c r="J83" s="106">
        <v>2</v>
      </c>
      <c r="K83" s="108">
        <f>IF(H82="","",IF(G83&lt;G82,0,IF(G83&gt;G82,2,1)))</f>
        <v>0</v>
      </c>
      <c r="L83" s="96"/>
      <c r="AU83" s="142"/>
      <c r="AV83" s="142"/>
      <c r="AW83" s="142"/>
      <c r="AX83" s="142"/>
      <c r="AY83" s="142"/>
      <c r="AZ83" s="142"/>
    </row>
    <row r="84" spans="2:62" s="90" customFormat="1" ht="9.75">
      <c r="B84" s="179"/>
      <c r="G84" s="179">
        <f>SUM(G78:G83)</f>
        <v>142</v>
      </c>
      <c r="N84" s="133"/>
      <c r="O84" s="135"/>
      <c r="P84" s="133"/>
      <c r="Q84" s="133"/>
      <c r="R84" s="133"/>
      <c r="S84" s="133"/>
      <c r="T84" s="133"/>
      <c r="U84" s="136"/>
      <c r="V84" s="135"/>
      <c r="W84" s="133"/>
      <c r="X84" s="133"/>
      <c r="Y84" s="133"/>
      <c r="Z84" s="133"/>
      <c r="AA84" s="133"/>
      <c r="AB84" s="136"/>
      <c r="AC84" s="135"/>
      <c r="AD84" s="133"/>
      <c r="AE84" s="133"/>
      <c r="AF84" s="133"/>
      <c r="AG84" s="133"/>
      <c r="AH84" s="133"/>
      <c r="AI84" s="132"/>
      <c r="AJ84" s="143"/>
      <c r="AK84" s="141"/>
      <c r="AR84" s="132"/>
      <c r="AS84" s="143"/>
      <c r="AT84" s="141"/>
      <c r="AU84" s="141"/>
      <c r="AV84" s="141"/>
      <c r="AW84" s="141"/>
      <c r="AX84" s="141"/>
      <c r="AY84" s="141"/>
      <c r="AZ84" s="141"/>
      <c r="BA84" s="136"/>
      <c r="BB84" s="143"/>
      <c r="BC84" s="141"/>
      <c r="BJ84" s="136"/>
    </row>
    <row r="85" spans="2:52" ht="12.75" thickBot="1">
      <c r="B85" s="179" t="s">
        <v>271</v>
      </c>
      <c r="D85" s="119" t="s">
        <v>268</v>
      </c>
      <c r="E85" s="110" t="str">
        <f>C78</f>
        <v>L</v>
      </c>
      <c r="F85" s="89" t="s">
        <v>262</v>
      </c>
      <c r="G85" s="89" t="s">
        <v>263</v>
      </c>
      <c r="H85" s="89" t="s">
        <v>264</v>
      </c>
      <c r="I85" s="89" t="s">
        <v>309</v>
      </c>
      <c r="J85" s="89" t="s">
        <v>266</v>
      </c>
      <c r="K85" s="89" t="s">
        <v>301</v>
      </c>
      <c r="L85" s="89" t="s">
        <v>269</v>
      </c>
      <c r="M85" s="109" t="s">
        <v>272</v>
      </c>
      <c r="N85" s="133" t="s">
        <v>270</v>
      </c>
      <c r="AU85" s="142"/>
      <c r="AV85" s="142"/>
      <c r="AW85" s="142"/>
      <c r="AX85" s="142"/>
      <c r="AY85" s="142"/>
      <c r="AZ85" s="142"/>
    </row>
    <row r="86" spans="2:52" ht="18" thickTop="1">
      <c r="B86" s="179">
        <f>N86</f>
        <v>2</v>
      </c>
      <c r="C86" s="179" t="str">
        <f>CONCATENATE("L",E86)</f>
        <v>L1</v>
      </c>
      <c r="D86" s="91">
        <v>28</v>
      </c>
      <c r="E86" s="93">
        <v>1</v>
      </c>
      <c r="F86" s="92" t="str">
        <f>IF(D86="","",VLOOKUP(D86,'Ranquing Inicial'!$B$6:$V$69,2,0))</f>
        <v>JORDI OLIVER SINCA</v>
      </c>
      <c r="G86" s="93">
        <f>SUM(G80,G82)</f>
        <v>52</v>
      </c>
      <c r="H86" s="93">
        <f>SUM(H80,H82)</f>
        <v>94</v>
      </c>
      <c r="I86" s="111">
        <f>IF(H86="","",G86/H86)</f>
        <v>0.5531914893617021</v>
      </c>
      <c r="J86" s="93">
        <f>MAX(J80,J82)</f>
        <v>6</v>
      </c>
      <c r="K86" s="95">
        <f>SUM(K80,K82)</f>
        <v>2</v>
      </c>
      <c r="L86" s="200" t="str">
        <f>IF(ISERROR(I86),"",N86&amp;"º")</f>
        <v>2º</v>
      </c>
      <c r="M86" s="112">
        <f>IF(ISERROR(I86),"",SUM(K86,I86/1000,J86/1000000))</f>
        <v>2.0005591914893617</v>
      </c>
      <c r="N86" s="133">
        <f>IF(ISERROR(I86),"",RANK(M86,M86:M88))</f>
        <v>2</v>
      </c>
      <c r="O86" s="137">
        <f>IF(N86=1,VLOOKUP(1,B86:K88,5,0),"")</f>
      </c>
      <c r="P86" s="138">
        <f>IF(N86=1,VLOOKUP(1,B86:K88,6,0),"")</f>
      </c>
      <c r="Q86" s="138">
        <f>IF(N86=1,VLOOKUP(1,B86:K88,7,0),"")</f>
      </c>
      <c r="R86" s="139">
        <f>IF(N86=1,VLOOKUP(1,B86:K88,8,0),"")</f>
      </c>
      <c r="S86" s="138">
        <f>IF(N86=1,VLOOKUP(1,B86:K88,9,0),"")</f>
      </c>
      <c r="T86" s="138">
        <f>IF(N86=1,VLOOKUP(1,B86:K88,10,0),"")</f>
      </c>
      <c r="V86" s="137" t="str">
        <f>IF(N86=2,VLOOKUP(2,B86:K88,5,0),"")</f>
        <v>JORDI OLIVER SINCA</v>
      </c>
      <c r="W86" s="138">
        <f>IF(N86=2,VLOOKUP(2,B86:K88,6,0),"")</f>
        <v>52</v>
      </c>
      <c r="X86" s="138">
        <f>IF(N86=2,VLOOKUP(2,B86:K88,7,0),"")</f>
        <v>94</v>
      </c>
      <c r="Y86" s="139">
        <f>IF(N86=2,VLOOKUP(2,B86:K88,8,0),"")</f>
        <v>0.5531914893617021</v>
      </c>
      <c r="Z86" s="138">
        <f>IF(N86=2,VLOOKUP(2,B86:K88,9,0),"")</f>
        <v>6</v>
      </c>
      <c r="AA86" s="138">
        <f>IF(N86=2,VLOOKUP(2,$B$16:$K$18,10,0),"")</f>
        <v>2</v>
      </c>
      <c r="AC86" s="135">
        <f>IF(N86=3,VLOOKUP(3,B86:K88,5,0),"")</f>
      </c>
      <c r="AD86" s="138">
        <f>IF(N86=3,VLOOKUP(3,B86:K88,6,0),"")</f>
      </c>
      <c r="AE86" s="138">
        <f>IF(N86=3,VLOOKUP(3,B86:K88,7,0),"")</f>
      </c>
      <c r="AF86" s="139">
        <f>IF(N86=3,VLOOKUP(3,B86:K88,8,0),"")</f>
      </c>
      <c r="AG86" s="138">
        <f>IF(N86=3,VLOOKUP(3,B86:K88,9,0),"")</f>
      </c>
      <c r="AH86" s="138">
        <f>IF(N86=3,VLOOKUP(3,B86:K88,10,0),"")</f>
      </c>
      <c r="AU86" s="142"/>
      <c r="AV86" s="142"/>
      <c r="AW86" s="142"/>
      <c r="AX86" s="142"/>
      <c r="AY86" s="142"/>
      <c r="AZ86" s="142"/>
    </row>
    <row r="87" spans="2:52" ht="16.5">
      <c r="B87" s="179">
        <f>N87</f>
        <v>1</v>
      </c>
      <c r="C87" s="179" t="str">
        <f>CONCATENATE("L",E87)</f>
        <v>L2</v>
      </c>
      <c r="D87" s="113">
        <v>37</v>
      </c>
      <c r="E87" s="114">
        <v>2</v>
      </c>
      <c r="F87" s="115" t="str">
        <f>IF(D87="","",VLOOKUP(D87,'Ranquing Inicial'!$B$6:$V$69,2,0))</f>
        <v>RAMÓN ARBIOL MORERA</v>
      </c>
      <c r="G87" s="114">
        <f>SUM(G78,G81)</f>
        <v>54</v>
      </c>
      <c r="H87" s="114">
        <f>SUM(H78,H80)</f>
        <v>96</v>
      </c>
      <c r="I87" s="116">
        <f>IF(H87="","",G87/H87)</f>
        <v>0.5625</v>
      </c>
      <c r="J87" s="114">
        <f>MAX(J78,J81)</f>
        <v>4</v>
      </c>
      <c r="K87" s="117">
        <f>SUM(K78,K81)</f>
        <v>4</v>
      </c>
      <c r="L87" s="199" t="str">
        <f>IF(ISERROR(I87),"",N87&amp;"º")</f>
        <v>1º</v>
      </c>
      <c r="M87" s="112">
        <f>IF(ISERROR(I87),"",SUM(K87,I87/1000,J87/1000000))</f>
        <v>4.0005665</v>
      </c>
      <c r="N87" s="133">
        <f>IF(ISERROR(I87),"",RANK(M87,M86:M88))</f>
        <v>1</v>
      </c>
      <c r="O87" s="137" t="str">
        <f>IF(N87=1,VLOOKUP(1,B86:K88,5,0),"")</f>
        <v>RAMÓN ARBIOL MORERA</v>
      </c>
      <c r="P87" s="138">
        <f>IF(N87=1,VLOOKUP(1,B86:K88,6,0),"")</f>
        <v>54</v>
      </c>
      <c r="Q87" s="138">
        <f>IF(N87=1,VLOOKUP(1,B86:K88,7,0),"")</f>
        <v>96</v>
      </c>
      <c r="R87" s="139">
        <f>IF(N87=1,VLOOKUP(1,B86:K88,8,0),"")</f>
        <v>0.5625</v>
      </c>
      <c r="S87" s="138">
        <f>IF(N87=1,VLOOKUP(1,B86:K88,9,0),"")</f>
        <v>4</v>
      </c>
      <c r="T87" s="138">
        <f>IF(N87=1,VLOOKUP(1,B86:K88,10,0),"")</f>
        <v>4</v>
      </c>
      <c r="V87" s="137">
        <f>IF(N87=2,VLOOKUP(2,B86:K88,5,0),"")</f>
      </c>
      <c r="W87" s="138">
        <f>IF(N87=2,VLOOKUP(2,B86:K88,6,0),"")</f>
      </c>
      <c r="X87" s="138">
        <f>IF(N87=2,VLOOKUP(2,B86:K88,7,0),"")</f>
      </c>
      <c r="Y87" s="139">
        <f>IF(N87=2,VLOOKUP(2,B86:$K88,8,0),"")</f>
      </c>
      <c r="Z87" s="138">
        <f>IF(N87=2,VLOOKUP(2,B86:K88,9,0),"")</f>
      </c>
      <c r="AA87" s="138">
        <f>IF(N87=2,VLOOKUP(2,B86:K88,10,0),"")</f>
      </c>
      <c r="AC87" s="135">
        <f>IF(N87=3,VLOOKUP(3,B86:K88,5,0),"")</f>
      </c>
      <c r="AD87" s="138">
        <f>IF(N87=3,VLOOKUP(3,B86:K88,6,0),"")</f>
      </c>
      <c r="AE87" s="138">
        <f>IF(N87=3,VLOOKUP(3,B86:K88,7,0),"")</f>
      </c>
      <c r="AF87" s="139">
        <f>IF(N87=3,VLOOKUP(3,B86:K88,8,0),"")</f>
      </c>
      <c r="AG87" s="138">
        <f>IF(N87=3,VLOOKUP(3,B86:K88,9,0),"")</f>
      </c>
      <c r="AH87" s="138">
        <f>IF(N87=3,VLOOKUP(3,B86:K88,10,0),"")</f>
      </c>
      <c r="AU87" s="142"/>
      <c r="AV87" s="142"/>
      <c r="AW87" s="142"/>
      <c r="AX87" s="142"/>
      <c r="AY87" s="142"/>
      <c r="AZ87" s="142"/>
    </row>
    <row r="88" spans="2:52" ht="18" thickBot="1">
      <c r="B88" s="179">
        <f>N88</f>
        <v>3</v>
      </c>
      <c r="C88" s="179" t="str">
        <f>CONCATENATE("L",E88)</f>
        <v>L3</v>
      </c>
      <c r="D88" s="102">
        <v>53</v>
      </c>
      <c r="E88" s="106">
        <v>3</v>
      </c>
      <c r="F88" s="103" t="str">
        <f>IF(D88="","",VLOOKUP(D88,'Ranquing Inicial'!$B$6:$V$69,2,0))</f>
        <v>ENRIC BAS PASTOR</v>
      </c>
      <c r="G88" s="106">
        <f>SUM(G79,G83)</f>
        <v>36</v>
      </c>
      <c r="H88" s="106">
        <f>SUM(H78,H82)</f>
        <v>90</v>
      </c>
      <c r="I88" s="118">
        <f>IF(H88="","",G88/H88)</f>
        <v>0.4</v>
      </c>
      <c r="J88" s="106">
        <f>MAX(J79,J83)</f>
        <v>4</v>
      </c>
      <c r="K88" s="108">
        <f>SUM(K79,K83)</f>
        <v>0</v>
      </c>
      <c r="L88" s="201" t="str">
        <f>IF(ISERROR(I88),"",N88&amp;"º")</f>
        <v>3º</v>
      </c>
      <c r="M88" s="112">
        <f>IF(ISERROR(I88),"",SUM(K88,I88/1000,J88/1000000))</f>
        <v>0.000404</v>
      </c>
      <c r="N88" s="133">
        <f>IF(ISERROR(I88),"",RANK(M88,M86:M88))</f>
        <v>3</v>
      </c>
      <c r="O88" s="137">
        <f>IF(N88=1,VLOOKUP(1,B86:K88,5,0),"")</f>
      </c>
      <c r="P88" s="138">
        <f>IF(N88=1,VLOOKUP(1,B86:K88,6,0),"")</f>
      </c>
      <c r="Q88" s="138">
        <f>IF(N88=1,VLOOKUP(1,B86:K88,7,0),"")</f>
      </c>
      <c r="R88" s="139">
        <f>IF(N88=1,VLOOKUP(1,B86:K88,8,0),"")</f>
      </c>
      <c r="S88" s="138">
        <f>IF(N88=1,VLOOKUP(1,B86:K88,9,0),"")</f>
      </c>
      <c r="T88" s="138">
        <f>IF(N88=1,VLOOKUP(1,B86:K88,10,0),"")</f>
      </c>
      <c r="V88" s="135">
        <f>IF(N88=2,VLOOKUP(2,B86:K88,5,0),"")</f>
      </c>
      <c r="W88" s="138">
        <f>IF(N88=2,VLOOKUP(2,B86:K88,6,0),"")</f>
      </c>
      <c r="X88" s="138">
        <f>IF(N88=2,VLOOKUP(2,B86:K88,7,0),"")</f>
      </c>
      <c r="Y88" s="139">
        <f>IF(N88=2,VLOOKUP(2,B86:K88,8,0),"")</f>
      </c>
      <c r="Z88" s="138">
        <f>IF(N88=2,VLOOKUP(2,B86:K88,9,0),"")</f>
      </c>
      <c r="AA88" s="138">
        <f>IF(N88=2,VLOOKUP(2,B86:K88,10,0),"")</f>
      </c>
      <c r="AC88" s="135" t="str">
        <f>IF(N88=3,VLOOKUP(3,B86:K88,5,0),"")</f>
        <v>ENRIC BAS PASTOR</v>
      </c>
      <c r="AD88" s="138">
        <f>IF(N88=3,VLOOKUP(3,B86:K88,6,0),"")</f>
        <v>36</v>
      </c>
      <c r="AE88" s="138">
        <f>IF(N88=3,VLOOKUP(3,B86:K88,7,0),"")</f>
        <v>90</v>
      </c>
      <c r="AF88" s="139">
        <f>IF(N88=3,VLOOKUP(3,B86:K88,8,0),"")</f>
        <v>0.4</v>
      </c>
      <c r="AG88" s="138">
        <f>IF(N88=3,VLOOKUP(3,B86:K88,9,0),"")</f>
        <v>4</v>
      </c>
      <c r="AH88" s="138">
        <f>IF(N88=3,VLOOKUP(3,B86:K88,10,0),"")</f>
        <v>0</v>
      </c>
      <c r="AU88" s="142"/>
      <c r="AV88" s="142"/>
      <c r="AW88" s="142"/>
      <c r="AX88" s="142"/>
      <c r="AY88" s="142"/>
      <c r="AZ88" s="142"/>
    </row>
    <row r="89" spans="2:62" s="90" customFormat="1" ht="12.75" customHeight="1" thickTop="1">
      <c r="B89" s="179"/>
      <c r="I89" s="180">
        <f>MAX(I86:I88)</f>
        <v>0.5625</v>
      </c>
      <c r="J89" s="179"/>
      <c r="K89" s="179">
        <f>SUM(K86:K88)</f>
        <v>6</v>
      </c>
      <c r="L89" s="179" t="e">
        <f>MODE(K86:K88)</f>
        <v>#N/A</v>
      </c>
      <c r="N89" s="133"/>
      <c r="O89" s="135"/>
      <c r="P89" s="133"/>
      <c r="Q89" s="133"/>
      <c r="R89" s="133"/>
      <c r="S89" s="133"/>
      <c r="T89" s="133"/>
      <c r="U89" s="136"/>
      <c r="V89" s="135"/>
      <c r="W89" s="133"/>
      <c r="X89" s="133"/>
      <c r="Y89" s="133"/>
      <c r="Z89" s="133"/>
      <c r="AA89" s="133"/>
      <c r="AB89" s="136"/>
      <c r="AC89" s="135"/>
      <c r="AD89" s="133"/>
      <c r="AE89" s="133"/>
      <c r="AF89" s="133"/>
      <c r="AG89" s="133"/>
      <c r="AH89" s="133"/>
      <c r="AI89" s="132"/>
      <c r="AJ89" s="143"/>
      <c r="AK89" s="141"/>
      <c r="AL89" s="89"/>
      <c r="AM89" s="89"/>
      <c r="AN89" s="89"/>
      <c r="AO89" s="89"/>
      <c r="AP89" s="89"/>
      <c r="AQ89" s="89"/>
      <c r="AR89" s="132"/>
      <c r="AS89" s="143"/>
      <c r="AT89" s="141"/>
      <c r="AU89" s="142"/>
      <c r="AV89" s="142"/>
      <c r="AW89" s="142"/>
      <c r="AX89" s="142"/>
      <c r="AY89" s="142"/>
      <c r="AZ89" s="142"/>
      <c r="BA89" s="136"/>
      <c r="BB89" s="143"/>
      <c r="BC89" s="141"/>
      <c r="BD89" s="89"/>
      <c r="BE89" s="89"/>
      <c r="BF89" s="89"/>
      <c r="BG89" s="89"/>
      <c r="BH89" s="89"/>
      <c r="BI89" s="89"/>
      <c r="BJ89" s="136"/>
    </row>
    <row r="90" spans="47:52" ht="12">
      <c r="AU90" s="142"/>
      <c r="AV90" s="142"/>
      <c r="AW90" s="142"/>
      <c r="AX90" s="142"/>
      <c r="AY90" s="142"/>
      <c r="AZ90" s="142"/>
    </row>
    <row r="91" spans="6:52" ht="12.75" thickBot="1">
      <c r="F91" s="89" t="s">
        <v>262</v>
      </c>
      <c r="G91" s="89" t="s">
        <v>263</v>
      </c>
      <c r="H91" s="89" t="s">
        <v>264</v>
      </c>
      <c r="I91" s="89" t="s">
        <v>309</v>
      </c>
      <c r="J91" s="89" t="s">
        <v>266</v>
      </c>
      <c r="K91" s="89" t="s">
        <v>301</v>
      </c>
      <c r="AU91" s="142"/>
      <c r="AV91" s="142"/>
      <c r="AW91" s="142"/>
      <c r="AX91" s="142"/>
      <c r="AY91" s="142"/>
      <c r="AZ91" s="142"/>
    </row>
    <row r="92" spans="3:52" ht="15.75" customHeight="1" thickTop="1">
      <c r="C92" s="636" t="str">
        <f>'Fase Grups'!R5</f>
        <v>N</v>
      </c>
      <c r="D92" s="123">
        <f>D64</f>
        <v>0.4583333333333333</v>
      </c>
      <c r="E92" s="91" t="s">
        <v>106</v>
      </c>
      <c r="F92" s="92" t="str">
        <f aca="true" t="shared" si="6" ref="F92:F97">VLOOKUP(E92,$C$100:$F$102,4,1)</f>
        <v>MIGUEL SÁNCHEZ BARRERA</v>
      </c>
      <c r="G92" s="93">
        <v>30</v>
      </c>
      <c r="H92" s="639">
        <v>48</v>
      </c>
      <c r="I92" s="94">
        <f>IF(H92="","",G92/H92)</f>
        <v>0.625</v>
      </c>
      <c r="J92" s="93">
        <v>5</v>
      </c>
      <c r="K92" s="95">
        <f>IF(H92="","",IF(G92&lt;G93,0,IF(G92&gt;G93,2,1)))</f>
        <v>2</v>
      </c>
      <c r="L92" s="96"/>
      <c r="AU92" s="142"/>
      <c r="AV92" s="142"/>
      <c r="AW92" s="142"/>
      <c r="AX92" s="142"/>
      <c r="AY92" s="142"/>
      <c r="AZ92" s="142"/>
    </row>
    <row r="93" spans="3:61" ht="15.75" customHeight="1" thickBot="1">
      <c r="C93" s="637"/>
      <c r="D93" s="124" t="str">
        <f>CONCATENATE("Mesa ",'Fase Grups'!H12)</f>
        <v>Mesa 3</v>
      </c>
      <c r="E93" s="97" t="s">
        <v>107</v>
      </c>
      <c r="F93" s="98" t="str">
        <f t="shared" si="6"/>
        <v>JAUME BERNAD DAZA</v>
      </c>
      <c r="G93" s="99">
        <v>21</v>
      </c>
      <c r="H93" s="640"/>
      <c r="I93" s="100">
        <f>IF(H92="","",G93/H92)</f>
        <v>0.4375</v>
      </c>
      <c r="J93" s="99">
        <v>3</v>
      </c>
      <c r="K93" s="101">
        <f>IF(H92="","",IF(G93&lt;G92,0,IF(G93&gt;G92,2,1)))</f>
        <v>0</v>
      </c>
      <c r="L93" s="96"/>
      <c r="AL93" s="90"/>
      <c r="AM93" s="90"/>
      <c r="AN93" s="90"/>
      <c r="AO93" s="90"/>
      <c r="AP93" s="90"/>
      <c r="AQ93" s="90"/>
      <c r="AU93" s="141"/>
      <c r="AV93" s="141"/>
      <c r="AW93" s="141"/>
      <c r="AX93" s="141"/>
      <c r="AY93" s="141"/>
      <c r="AZ93" s="141"/>
      <c r="BD93" s="90"/>
      <c r="BE93" s="90"/>
      <c r="BF93" s="90"/>
      <c r="BG93" s="90"/>
      <c r="BH93" s="90"/>
      <c r="BI93" s="90"/>
    </row>
    <row r="94" spans="3:52" ht="15.75" customHeight="1" thickTop="1">
      <c r="C94" s="637"/>
      <c r="D94" s="123">
        <v>0.7916666666666666</v>
      </c>
      <c r="E94" s="91" t="s">
        <v>105</v>
      </c>
      <c r="F94" s="92" t="str">
        <f t="shared" si="6"/>
        <v>JUAN ROJALS VALLS</v>
      </c>
      <c r="G94" s="93">
        <v>30</v>
      </c>
      <c r="H94" s="639">
        <v>43</v>
      </c>
      <c r="I94" s="94">
        <f>IF(H94="","",G94/H94)</f>
        <v>0.6976744186046512</v>
      </c>
      <c r="J94" s="93">
        <v>4</v>
      </c>
      <c r="K94" s="95">
        <f>IF(H94="","",IF(G94&lt;G95,0,IF(G94&gt;G95,2,1)))</f>
        <v>2</v>
      </c>
      <c r="L94" s="96"/>
      <c r="AU94" s="142"/>
      <c r="AV94" s="142"/>
      <c r="AW94" s="142"/>
      <c r="AX94" s="142"/>
      <c r="AY94" s="142"/>
      <c r="AZ94" s="142"/>
    </row>
    <row r="95" spans="3:61" ht="15.75" customHeight="1" thickBot="1">
      <c r="C95" s="637"/>
      <c r="D95" s="197" t="s">
        <v>308</v>
      </c>
      <c r="E95" s="102" t="s">
        <v>106</v>
      </c>
      <c r="F95" s="103" t="str">
        <f t="shared" si="6"/>
        <v>MIGUEL SÁNCHEZ BARRERA</v>
      </c>
      <c r="G95" s="99">
        <v>29</v>
      </c>
      <c r="H95" s="640"/>
      <c r="I95" s="100">
        <f>IF(H94="","",G95/H94)</f>
        <v>0.6744186046511628</v>
      </c>
      <c r="J95" s="99">
        <v>5</v>
      </c>
      <c r="K95" s="101">
        <f>IF(H94="","",IF(G95&lt;G94,0,IF(G95&gt;G94,2,1)))</f>
        <v>0</v>
      </c>
      <c r="L95" s="96"/>
      <c r="AL95" s="90"/>
      <c r="AM95" s="90"/>
      <c r="AN95" s="90"/>
      <c r="AO95" s="90"/>
      <c r="AP95" s="90"/>
      <c r="AQ95" s="90"/>
      <c r="AU95" s="141"/>
      <c r="AV95" s="141"/>
      <c r="AW95" s="141"/>
      <c r="AX95" s="141"/>
      <c r="AY95" s="141"/>
      <c r="AZ95" s="141"/>
      <c r="BD95" s="90"/>
      <c r="BE95" s="90"/>
      <c r="BF95" s="90"/>
      <c r="BG95" s="90"/>
      <c r="BH95" s="90"/>
      <c r="BI95" s="90"/>
    </row>
    <row r="96" spans="3:52" ht="15.75" customHeight="1" thickTop="1">
      <c r="C96" s="637"/>
      <c r="D96" s="196">
        <v>0.6666666666666666</v>
      </c>
      <c r="E96" s="104" t="s">
        <v>105</v>
      </c>
      <c r="F96" s="105" t="str">
        <f t="shared" si="6"/>
        <v>JUAN ROJALS VALLS</v>
      </c>
      <c r="G96" s="93">
        <v>30</v>
      </c>
      <c r="H96" s="639">
        <v>45</v>
      </c>
      <c r="I96" s="94">
        <f>IF(H96="","",G96/H96)</f>
        <v>0.6666666666666666</v>
      </c>
      <c r="J96" s="93">
        <v>4</v>
      </c>
      <c r="K96" s="95">
        <f>IF(H96="","",IF(G96&lt;G97,0,IF(G96&gt;G97,2,1)))</f>
        <v>2</v>
      </c>
      <c r="L96" s="96"/>
      <c r="AU96" s="142"/>
      <c r="AV96" s="142"/>
      <c r="AW96" s="142"/>
      <c r="AX96" s="142"/>
      <c r="AY96" s="142"/>
      <c r="AZ96" s="142"/>
    </row>
    <row r="97" spans="3:52" ht="15.75" customHeight="1" thickBot="1">
      <c r="C97" s="638"/>
      <c r="D97" s="197" t="s">
        <v>308</v>
      </c>
      <c r="E97" s="102" t="s">
        <v>107</v>
      </c>
      <c r="F97" s="103" t="str">
        <f t="shared" si="6"/>
        <v>JAUME BERNAD DAZA</v>
      </c>
      <c r="G97" s="106">
        <v>19</v>
      </c>
      <c r="H97" s="640"/>
      <c r="I97" s="107">
        <f>IF(H96="","",G97/H96)</f>
        <v>0.4222222222222222</v>
      </c>
      <c r="J97" s="106">
        <v>4</v>
      </c>
      <c r="K97" s="108">
        <f>IF(H96="","",IF(G97&lt;G96,0,IF(G97&gt;G96,2,1)))</f>
        <v>0</v>
      </c>
      <c r="L97" s="96"/>
      <c r="AU97" s="142"/>
      <c r="AV97" s="142"/>
      <c r="AW97" s="142"/>
      <c r="AX97" s="142"/>
      <c r="AY97" s="142"/>
      <c r="AZ97" s="142"/>
    </row>
    <row r="98" spans="2:62" s="90" customFormat="1" ht="11.25" customHeight="1">
      <c r="B98" s="179"/>
      <c r="G98" s="179">
        <f>SUM(G92:G97)</f>
        <v>159</v>
      </c>
      <c r="N98" s="133"/>
      <c r="O98" s="135"/>
      <c r="P98" s="133"/>
      <c r="Q98" s="133"/>
      <c r="R98" s="133"/>
      <c r="S98" s="133"/>
      <c r="T98" s="133"/>
      <c r="U98" s="136"/>
      <c r="V98" s="135"/>
      <c r="W98" s="133"/>
      <c r="X98" s="133"/>
      <c r="Y98" s="133"/>
      <c r="Z98" s="133"/>
      <c r="AA98" s="133"/>
      <c r="AB98" s="136"/>
      <c r="AC98" s="135"/>
      <c r="AD98" s="133"/>
      <c r="AE98" s="133"/>
      <c r="AF98" s="133"/>
      <c r="AG98" s="133"/>
      <c r="AH98" s="133"/>
      <c r="AI98" s="132"/>
      <c r="AJ98" s="143"/>
      <c r="AK98" s="141"/>
      <c r="AL98" s="89"/>
      <c r="AM98" s="89"/>
      <c r="AN98" s="89"/>
      <c r="AO98" s="89"/>
      <c r="AP98" s="89"/>
      <c r="AQ98" s="89"/>
      <c r="AR98" s="132"/>
      <c r="AS98" s="143"/>
      <c r="AT98" s="141"/>
      <c r="AU98" s="142"/>
      <c r="AV98" s="142"/>
      <c r="AW98" s="142"/>
      <c r="AX98" s="142"/>
      <c r="AY98" s="142"/>
      <c r="AZ98" s="142"/>
      <c r="BA98" s="136"/>
      <c r="BB98" s="143"/>
      <c r="BC98" s="141"/>
      <c r="BD98" s="89"/>
      <c r="BE98" s="89"/>
      <c r="BF98" s="89"/>
      <c r="BG98" s="89"/>
      <c r="BH98" s="89"/>
      <c r="BI98" s="89"/>
      <c r="BJ98" s="136"/>
    </row>
    <row r="99" spans="2:52" ht="12.75" thickBot="1">
      <c r="B99" s="179" t="s">
        <v>271</v>
      </c>
      <c r="D99" s="119" t="s">
        <v>268</v>
      </c>
      <c r="E99" s="110" t="str">
        <f>C92</f>
        <v>N</v>
      </c>
      <c r="F99" s="89" t="s">
        <v>262</v>
      </c>
      <c r="G99" s="89" t="s">
        <v>263</v>
      </c>
      <c r="H99" s="89" t="s">
        <v>264</v>
      </c>
      <c r="I99" s="89" t="s">
        <v>309</v>
      </c>
      <c r="J99" s="89" t="s">
        <v>266</v>
      </c>
      <c r="K99" s="89" t="s">
        <v>301</v>
      </c>
      <c r="L99" s="89" t="s">
        <v>269</v>
      </c>
      <c r="M99" s="109" t="s">
        <v>272</v>
      </c>
      <c r="N99" s="133" t="s">
        <v>270</v>
      </c>
      <c r="AU99" s="142"/>
      <c r="AV99" s="142"/>
      <c r="AW99" s="142"/>
      <c r="AX99" s="142"/>
      <c r="AY99" s="142"/>
      <c r="AZ99" s="142"/>
    </row>
    <row r="100" spans="2:52" ht="18" thickTop="1">
      <c r="B100" s="179">
        <f>N100</f>
        <v>1</v>
      </c>
      <c r="C100" s="179" t="str">
        <f>CONCATENATE("N",E100)</f>
        <v>N1</v>
      </c>
      <c r="D100" s="91">
        <v>30</v>
      </c>
      <c r="E100" s="93">
        <v>1</v>
      </c>
      <c r="F100" s="92" t="str">
        <f>IF(D100="","",VLOOKUP(D100,'Ranquing Inicial'!$B$6:$V$69,2,0))</f>
        <v>JUAN ROJALS VALLS</v>
      </c>
      <c r="G100" s="93">
        <f>SUM(G94,G96)</f>
        <v>60</v>
      </c>
      <c r="H100" s="93">
        <f>SUM(H94,H96)</f>
        <v>88</v>
      </c>
      <c r="I100" s="111">
        <f>IF(H100="","",G100/H100)</f>
        <v>0.6818181818181818</v>
      </c>
      <c r="J100" s="93">
        <f>MAX(J94,J96)</f>
        <v>4</v>
      </c>
      <c r="K100" s="95">
        <f>SUM(K94,K96)</f>
        <v>4</v>
      </c>
      <c r="L100" s="200" t="str">
        <f>IF(ISERROR(I100),"",N100&amp;"º")</f>
        <v>1º</v>
      </c>
      <c r="M100" s="112">
        <f>IF(ISERROR(I100),"",SUM(K100,I100/1000,J100/1000000))</f>
        <v>4.000685818181818</v>
      </c>
      <c r="N100" s="133">
        <f>IF(ISERROR(I100),"",RANK(M100,M100:M102))</f>
        <v>1</v>
      </c>
      <c r="O100" s="137" t="str">
        <f>IF(N100=1,VLOOKUP(1,B100:K102,5,0),"")</f>
        <v>JUAN ROJALS VALLS</v>
      </c>
      <c r="P100" s="138">
        <f>IF(N100=1,VLOOKUP(1,B100:K102,6,0),"")</f>
        <v>60</v>
      </c>
      <c r="Q100" s="138">
        <f>IF(N100=1,VLOOKUP(1,B100:K102,7,0),"")</f>
        <v>88</v>
      </c>
      <c r="R100" s="139">
        <f>IF(N100=1,VLOOKUP(1,B100:K102,8,0),"")</f>
        <v>0.6818181818181818</v>
      </c>
      <c r="S100" s="138">
        <f>IF(N100=1,VLOOKUP(1,B100:K102,9,0),"")</f>
        <v>4</v>
      </c>
      <c r="T100" s="138">
        <f>IF(N100=1,VLOOKUP(1,B100:K102,10,0),"")</f>
        <v>4</v>
      </c>
      <c r="V100" s="137">
        <f>IF(N100=2,VLOOKUP(2,B100:K102,5,0),"")</f>
      </c>
      <c r="W100" s="138">
        <f>IF(N100=2,VLOOKUP(2,B100:K102,6,0),"")</f>
      </c>
      <c r="X100" s="138">
        <f>IF(N100=2,VLOOKUP(2,B100:K102,7,0),"")</f>
      </c>
      <c r="Y100" s="139">
        <f>IF(N100=2,VLOOKUP(2,B100:K102,8,0),"")</f>
      </c>
      <c r="Z100" s="138">
        <f>IF(N100=2,VLOOKUP(2,B100:K102,9,0),"")</f>
      </c>
      <c r="AA100" s="138">
        <f>IF(N100=2,VLOOKUP(2,$B$16:$K$18,10,0),"")</f>
      </c>
      <c r="AC100" s="135">
        <f>IF(N100=3,VLOOKUP(3,B100:K102,5,0),"")</f>
      </c>
      <c r="AD100" s="138">
        <f>IF(N100=3,VLOOKUP(3,B100:K102,6,0),"")</f>
      </c>
      <c r="AE100" s="138">
        <f>IF(N100=3,VLOOKUP(3,B100:K102,7,0),"")</f>
      </c>
      <c r="AF100" s="139">
        <f>IF(N100=3,VLOOKUP(3,B100:K102,8,0),"")</f>
      </c>
      <c r="AG100" s="138">
        <f>IF(N100=3,VLOOKUP(3,B100:K102,9,0),"")</f>
      </c>
      <c r="AH100" s="138">
        <f>IF(N100=3,VLOOKUP(3,B100:K102,10,0),"")</f>
      </c>
      <c r="AU100" s="142"/>
      <c r="AV100" s="142"/>
      <c r="AW100" s="142"/>
      <c r="AX100" s="142"/>
      <c r="AY100" s="142"/>
      <c r="AZ100" s="142"/>
    </row>
    <row r="101" spans="2:52" ht="16.5">
      <c r="B101" s="179">
        <f>N101</f>
        <v>2</v>
      </c>
      <c r="C101" s="179" t="str">
        <f>CONCATENATE("N",E101)</f>
        <v>N2</v>
      </c>
      <c r="D101" s="113">
        <v>35</v>
      </c>
      <c r="E101" s="114">
        <v>2</v>
      </c>
      <c r="F101" s="115" t="str">
        <f>IF(D101="","",VLOOKUP(D101,'Ranquing Inicial'!$B$6:$V$69,2,0))</f>
        <v>MIGUEL SÁNCHEZ BARRERA</v>
      </c>
      <c r="G101" s="114">
        <f>SUM(G92,G95)</f>
        <v>59</v>
      </c>
      <c r="H101" s="114">
        <f>SUM(H92,H94)</f>
        <v>91</v>
      </c>
      <c r="I101" s="116">
        <f>IF(H101="","",G101/H101)</f>
        <v>0.6483516483516484</v>
      </c>
      <c r="J101" s="114">
        <f>MAX(J92,J95)</f>
        <v>5</v>
      </c>
      <c r="K101" s="117">
        <f>SUM(K92,K95)</f>
        <v>2</v>
      </c>
      <c r="L101" s="199" t="str">
        <f>IF(ISERROR(I101),"",N101&amp;"º")</f>
        <v>2º</v>
      </c>
      <c r="M101" s="112">
        <f>IF(ISERROR(I101),"",SUM(K101,I101/1000,J101/1000000))</f>
        <v>2.0006533516483516</v>
      </c>
      <c r="N101" s="133">
        <f>IF(ISERROR(I101),"",RANK(M101,M100:M102))</f>
        <v>2</v>
      </c>
      <c r="O101" s="137">
        <f>IF(N101=1,VLOOKUP(1,B100:K102,5,0),"")</f>
      </c>
      <c r="P101" s="138">
        <f>IF(N101=1,VLOOKUP(1,B100:K102,6,0),"")</f>
      </c>
      <c r="Q101" s="138">
        <f>IF(N101=1,VLOOKUP(1,B100:K102,7,0),"")</f>
      </c>
      <c r="R101" s="139">
        <f>IF(N101=1,VLOOKUP(1,B100:K102,8,0),"")</f>
      </c>
      <c r="S101" s="138">
        <f>IF(N101=1,VLOOKUP(1,B100:K102,9,0),"")</f>
      </c>
      <c r="T101" s="138">
        <f>IF(N101=1,VLOOKUP(1,B100:K102,10,0),"")</f>
      </c>
      <c r="V101" s="137" t="str">
        <f>IF(N101=2,VLOOKUP(2,B100:K102,5,0),"")</f>
        <v>MIGUEL SÁNCHEZ BARRERA</v>
      </c>
      <c r="W101" s="138">
        <f>IF(N101=2,VLOOKUP(2,B100:K102,6,0),"")</f>
        <v>59</v>
      </c>
      <c r="X101" s="138">
        <f>IF(N101=2,VLOOKUP(2,B100:K102,7,0),"")</f>
        <v>91</v>
      </c>
      <c r="Y101" s="139">
        <f>IF(N101=2,VLOOKUP(2,B100:$K102,8,0),"")</f>
        <v>0.6483516483516484</v>
      </c>
      <c r="Z101" s="138">
        <f>IF(N101=2,VLOOKUP(2,B100:K102,9,0),"")</f>
        <v>5</v>
      </c>
      <c r="AA101" s="138">
        <f>IF(N101=2,VLOOKUP(2,B100:K102,10,0),"")</f>
        <v>2</v>
      </c>
      <c r="AC101" s="135">
        <f>IF(N101=3,VLOOKUP(3,B100:K102,5,0),"")</f>
      </c>
      <c r="AD101" s="138">
        <f>IF(N101=3,VLOOKUP(3,B100:K102,6,0),"")</f>
      </c>
      <c r="AE101" s="138">
        <f>IF(N101=3,VLOOKUP(3,B100:K102,7,0),"")</f>
      </c>
      <c r="AF101" s="139">
        <f>IF(N101=3,VLOOKUP(3,B100:K102,8,0),"")</f>
      </c>
      <c r="AG101" s="138">
        <f>IF(N101=3,VLOOKUP(3,B100:K102,9,0),"")</f>
      </c>
      <c r="AH101" s="138">
        <f>IF(N101=3,VLOOKUP(3,B100:K102,10,0),"")</f>
      </c>
      <c r="AU101" s="142"/>
      <c r="AV101" s="142"/>
      <c r="AW101" s="142"/>
      <c r="AX101" s="142"/>
      <c r="AY101" s="142"/>
      <c r="AZ101" s="142"/>
    </row>
    <row r="102" spans="2:52" ht="18" thickBot="1">
      <c r="B102" s="179">
        <f>N102</f>
        <v>3</v>
      </c>
      <c r="C102" s="179" t="str">
        <f>CONCATENATE("N",E102)</f>
        <v>N3</v>
      </c>
      <c r="D102" s="102">
        <v>51</v>
      </c>
      <c r="E102" s="106">
        <v>3</v>
      </c>
      <c r="F102" s="103" t="str">
        <f>IF(D102="","",VLOOKUP(D102,'Ranquing Inicial'!$B$6:$V$69,2,0))</f>
        <v>JAUME BERNAD DAZA</v>
      </c>
      <c r="G102" s="106">
        <f>SUM(G93,G97)</f>
        <v>40</v>
      </c>
      <c r="H102" s="106">
        <f>SUM(H92,H96)</f>
        <v>93</v>
      </c>
      <c r="I102" s="118">
        <f>IF(H102="","",G102/H102)</f>
        <v>0.43010752688172044</v>
      </c>
      <c r="J102" s="106">
        <f>MAX(J93,J97)</f>
        <v>4</v>
      </c>
      <c r="K102" s="108">
        <f>SUM(K93,K97)</f>
        <v>0</v>
      </c>
      <c r="L102" s="201" t="str">
        <f>IF(ISERROR(I102),"",N102&amp;"º")</f>
        <v>3º</v>
      </c>
      <c r="M102" s="112">
        <f>IF(ISERROR(I102),"",SUM(K102,I102/1000,J102/1000000))</f>
        <v>0.0004341075268817204</v>
      </c>
      <c r="N102" s="133">
        <f>IF(ISERROR(I102),"",RANK(M102,M100:M102))</f>
        <v>3</v>
      </c>
      <c r="O102" s="137">
        <f>IF(N102=1,VLOOKUP(1,B100:K102,5,0),"")</f>
      </c>
      <c r="P102" s="138">
        <f>IF(N102=1,VLOOKUP(1,B100:K102,6,0),"")</f>
      </c>
      <c r="Q102" s="138">
        <f>IF(N102=1,VLOOKUP(1,B100:K102,7,0),"")</f>
      </c>
      <c r="R102" s="139">
        <f>IF(N102=1,VLOOKUP(1,B100:K102,8,0),"")</f>
      </c>
      <c r="S102" s="138">
        <f>IF(N102=1,VLOOKUP(1,B100:K102,9,0),"")</f>
      </c>
      <c r="T102" s="138">
        <f>IF(N102=1,VLOOKUP(1,B100:K102,10,0),"")</f>
      </c>
      <c r="V102" s="135">
        <f>IF(N102=2,VLOOKUP(2,B100:K102,5,0),"")</f>
      </c>
      <c r="W102" s="138">
        <f>IF(N102=2,VLOOKUP(2,B100:K102,6,0),"")</f>
      </c>
      <c r="X102" s="138">
        <f>IF(N102=2,VLOOKUP(2,B100:K102,7,0),"")</f>
      </c>
      <c r="Y102" s="139">
        <f>IF(N102=2,VLOOKUP(2,B100:K102,8,0),"")</f>
      </c>
      <c r="Z102" s="138">
        <f>IF(N102=2,VLOOKUP(2,B100:K102,9,0),"")</f>
      </c>
      <c r="AA102" s="138">
        <f>IF(N102=2,VLOOKUP(2,B100:K102,10,0),"")</f>
      </c>
      <c r="AC102" s="135" t="str">
        <f>IF(N102=3,VLOOKUP(3,B100:K102,5,0),"")</f>
        <v>JAUME BERNAD DAZA</v>
      </c>
      <c r="AD102" s="138">
        <f>IF(N102=3,VLOOKUP(3,B100:K102,6,0),"")</f>
        <v>40</v>
      </c>
      <c r="AE102" s="138">
        <f>IF(N102=3,VLOOKUP(3,B100:K102,7,0),"")</f>
        <v>93</v>
      </c>
      <c r="AF102" s="139">
        <f>IF(N102=3,VLOOKUP(3,B100:K102,8,0),"")</f>
        <v>0.43010752688172044</v>
      </c>
      <c r="AG102" s="138">
        <f>IF(N102=3,VLOOKUP(3,B100:K102,9,0),"")</f>
        <v>4</v>
      </c>
      <c r="AH102" s="138">
        <f>IF(N102=3,VLOOKUP(3,B100:K102,10,0),"")</f>
        <v>0</v>
      </c>
      <c r="AU102" s="142"/>
      <c r="AV102" s="142"/>
      <c r="AW102" s="142"/>
      <c r="AX102" s="142"/>
      <c r="AY102" s="142"/>
      <c r="AZ102" s="142"/>
    </row>
    <row r="103" spans="2:62" s="90" customFormat="1" ht="12.75" thickTop="1">
      <c r="B103" s="179"/>
      <c r="I103" s="180">
        <f>MAX(I100:I102)</f>
        <v>0.6818181818181818</v>
      </c>
      <c r="J103" s="179"/>
      <c r="K103" s="179">
        <f>SUM(K100:K102)</f>
        <v>6</v>
      </c>
      <c r="L103" s="179" t="e">
        <f>MODE(K100:K102)</f>
        <v>#N/A</v>
      </c>
      <c r="N103" s="133"/>
      <c r="O103" s="135"/>
      <c r="P103" s="133"/>
      <c r="Q103" s="133"/>
      <c r="R103" s="133"/>
      <c r="S103" s="133"/>
      <c r="T103" s="133"/>
      <c r="U103" s="136"/>
      <c r="V103" s="135"/>
      <c r="W103" s="133"/>
      <c r="X103" s="133"/>
      <c r="Y103" s="133"/>
      <c r="Z103" s="133"/>
      <c r="AA103" s="133"/>
      <c r="AB103" s="136"/>
      <c r="AC103" s="135"/>
      <c r="AD103" s="133"/>
      <c r="AE103" s="133"/>
      <c r="AF103" s="133"/>
      <c r="AG103" s="133"/>
      <c r="AH103" s="133"/>
      <c r="AI103" s="132"/>
      <c r="AJ103" s="143"/>
      <c r="AK103" s="141"/>
      <c r="AL103" s="89"/>
      <c r="AM103" s="89"/>
      <c r="AN103" s="89"/>
      <c r="AO103" s="89"/>
      <c r="AP103" s="89"/>
      <c r="AQ103" s="89"/>
      <c r="AR103" s="132"/>
      <c r="AS103" s="143"/>
      <c r="AT103" s="141"/>
      <c r="AU103" s="142"/>
      <c r="AV103" s="142"/>
      <c r="AW103" s="142"/>
      <c r="AX103" s="142"/>
      <c r="AY103" s="142"/>
      <c r="AZ103" s="142"/>
      <c r="BA103" s="136"/>
      <c r="BB103" s="143"/>
      <c r="BC103" s="141"/>
      <c r="BD103" s="89"/>
      <c r="BE103" s="89"/>
      <c r="BF103" s="89"/>
      <c r="BG103" s="89"/>
      <c r="BH103" s="89"/>
      <c r="BI103" s="89"/>
      <c r="BJ103" s="136"/>
    </row>
    <row r="104" spans="38:61" ht="12">
      <c r="AL104" s="90"/>
      <c r="AM104" s="90"/>
      <c r="AN104" s="90"/>
      <c r="AO104" s="90"/>
      <c r="AP104" s="90"/>
      <c r="AQ104" s="90"/>
      <c r="AU104" s="141"/>
      <c r="AV104" s="141"/>
      <c r="AW104" s="141"/>
      <c r="AX104" s="141"/>
      <c r="AY104" s="141"/>
      <c r="AZ104" s="141"/>
      <c r="BD104" s="90"/>
      <c r="BE104" s="90"/>
      <c r="BF104" s="90"/>
      <c r="BG104" s="90"/>
      <c r="BH104" s="90"/>
      <c r="BI104" s="90"/>
    </row>
    <row r="105" spans="6:52" ht="12.75" thickBot="1">
      <c r="F105" s="89" t="s">
        <v>262</v>
      </c>
      <c r="G105" s="89" t="s">
        <v>263</v>
      </c>
      <c r="H105" s="89" t="s">
        <v>264</v>
      </c>
      <c r="I105" s="89" t="s">
        <v>309</v>
      </c>
      <c r="J105" s="89" t="s">
        <v>266</v>
      </c>
      <c r="K105" s="89" t="s">
        <v>301</v>
      </c>
      <c r="AU105" s="142"/>
      <c r="AV105" s="142"/>
      <c r="AW105" s="142"/>
      <c r="AX105" s="142"/>
      <c r="AY105" s="142"/>
      <c r="AZ105" s="142"/>
    </row>
    <row r="106" spans="3:61" ht="15.75" customHeight="1" thickTop="1">
      <c r="C106" s="636" t="str">
        <f>'Fase Grups'!T5</f>
        <v>P</v>
      </c>
      <c r="D106" s="123">
        <f>D64</f>
        <v>0.4583333333333333</v>
      </c>
      <c r="E106" s="91" t="s">
        <v>112</v>
      </c>
      <c r="F106" s="92" t="str">
        <f aca="true" t="shared" si="7" ref="F106:F111">VLOOKUP(E106,$C$114:$F$116,4,1)</f>
        <v>JOAN ANTONI NAVARRO CARMONA</v>
      </c>
      <c r="G106" s="93">
        <v>30</v>
      </c>
      <c r="H106" s="639">
        <v>42</v>
      </c>
      <c r="I106" s="94">
        <f>IF(H106="","",G106/H106)</f>
        <v>0.7142857142857143</v>
      </c>
      <c r="J106" s="93">
        <v>4</v>
      </c>
      <c r="K106" s="95">
        <f>IF(H106="","",IF(G106&lt;G107,0,IF(G106&gt;G107,2,1)))</f>
        <v>2</v>
      </c>
      <c r="L106" s="96"/>
      <c r="AL106" s="90"/>
      <c r="AM106" s="90"/>
      <c r="AN106" s="90"/>
      <c r="AO106" s="90"/>
      <c r="AP106" s="90"/>
      <c r="AQ106" s="90"/>
      <c r="AU106" s="141"/>
      <c r="AV106" s="141"/>
      <c r="AW106" s="141"/>
      <c r="AX106" s="141"/>
      <c r="AY106" s="141"/>
      <c r="AZ106" s="141"/>
      <c r="BD106" s="90"/>
      <c r="BE106" s="90"/>
      <c r="BF106" s="90"/>
      <c r="BG106" s="90"/>
      <c r="BH106" s="90"/>
      <c r="BI106" s="90"/>
    </row>
    <row r="107" spans="3:52" ht="15.75" customHeight="1" thickBot="1">
      <c r="C107" s="637"/>
      <c r="D107" s="124" t="str">
        <f>CONCATENATE("Mesa ",'Fase Grups'!J12)</f>
        <v>Mesa 4</v>
      </c>
      <c r="E107" s="97" t="s">
        <v>113</v>
      </c>
      <c r="F107" s="98" t="str">
        <f t="shared" si="7"/>
        <v>DAVID FIOL ALONSO</v>
      </c>
      <c r="G107" s="99">
        <v>18</v>
      </c>
      <c r="H107" s="640"/>
      <c r="I107" s="100">
        <f>IF(H106="","",G107/H106)</f>
        <v>0.42857142857142855</v>
      </c>
      <c r="J107" s="99">
        <v>4</v>
      </c>
      <c r="K107" s="101">
        <f>IF(H106="","",IF(G107&lt;G106,0,IF(G107&gt;G106,2,1)))</f>
        <v>0</v>
      </c>
      <c r="L107" s="96"/>
      <c r="AU107" s="142"/>
      <c r="AV107" s="142"/>
      <c r="AW107" s="142"/>
      <c r="AX107" s="142"/>
      <c r="AY107" s="142"/>
      <c r="AZ107" s="142"/>
    </row>
    <row r="108" spans="3:52" ht="15.75" customHeight="1" thickTop="1">
      <c r="C108" s="637"/>
      <c r="D108" s="123">
        <v>0.7916666666666666</v>
      </c>
      <c r="E108" s="91" t="s">
        <v>111</v>
      </c>
      <c r="F108" s="92" t="str">
        <f t="shared" si="7"/>
        <v>MANEL LOZANO HERRERO</v>
      </c>
      <c r="G108" s="93">
        <v>30</v>
      </c>
      <c r="H108" s="639">
        <v>38</v>
      </c>
      <c r="I108" s="94">
        <f>IF(H108="","",G108/H108)</f>
        <v>0.7894736842105263</v>
      </c>
      <c r="J108" s="93">
        <v>5</v>
      </c>
      <c r="K108" s="95">
        <f>IF(H108="","",IF(G108&lt;G109,0,IF(G108&gt;G109,2,1)))</f>
        <v>2</v>
      </c>
      <c r="L108" s="96"/>
      <c r="AU108" s="142"/>
      <c r="AV108" s="142"/>
      <c r="AW108" s="142"/>
      <c r="AX108" s="142"/>
      <c r="AY108" s="142"/>
      <c r="AZ108" s="142"/>
    </row>
    <row r="109" spans="3:52" ht="15.75" customHeight="1" thickBot="1">
      <c r="C109" s="637"/>
      <c r="D109" s="197" t="s">
        <v>307</v>
      </c>
      <c r="E109" s="102" t="s">
        <v>112</v>
      </c>
      <c r="F109" s="103" t="str">
        <f t="shared" si="7"/>
        <v>JOAN ANTONI NAVARRO CARMONA</v>
      </c>
      <c r="G109" s="99">
        <v>17</v>
      </c>
      <c r="H109" s="640"/>
      <c r="I109" s="100">
        <f>IF(H108="","",G109/H108)</f>
        <v>0.4473684210526316</v>
      </c>
      <c r="J109" s="99">
        <v>4</v>
      </c>
      <c r="K109" s="101">
        <f>IF(H108="","",IF(G109&lt;G108,0,IF(G109&gt;G108,2,1)))</f>
        <v>0</v>
      </c>
      <c r="L109" s="96"/>
      <c r="AU109" s="142"/>
      <c r="AV109" s="142"/>
      <c r="AW109" s="142"/>
      <c r="AX109" s="142"/>
      <c r="AY109" s="142"/>
      <c r="AZ109" s="142"/>
    </row>
    <row r="110" spans="3:52" ht="15.75" customHeight="1" thickTop="1">
      <c r="C110" s="637"/>
      <c r="D110" s="196">
        <v>0.6666666666666666</v>
      </c>
      <c r="E110" s="104" t="s">
        <v>111</v>
      </c>
      <c r="F110" s="105" t="str">
        <f t="shared" si="7"/>
        <v>MANEL LOZANO HERRERO</v>
      </c>
      <c r="G110" s="93">
        <v>30</v>
      </c>
      <c r="H110" s="639">
        <v>50</v>
      </c>
      <c r="I110" s="94">
        <f>IF(H110="","",G110/H110)</f>
        <v>0.6</v>
      </c>
      <c r="J110" s="93">
        <v>3</v>
      </c>
      <c r="K110" s="95">
        <f>IF(H110="","",IF(G110&lt;G111,0,IF(G110&gt;G111,2,1)))</f>
        <v>2</v>
      </c>
      <c r="L110" s="96"/>
      <c r="AU110" s="142"/>
      <c r="AV110" s="142"/>
      <c r="AW110" s="142"/>
      <c r="AX110" s="142"/>
      <c r="AY110" s="142"/>
      <c r="AZ110" s="142"/>
    </row>
    <row r="111" spans="3:52" ht="15.75" customHeight="1" thickBot="1">
      <c r="C111" s="638"/>
      <c r="D111" s="197" t="s">
        <v>307</v>
      </c>
      <c r="E111" s="102" t="s">
        <v>113</v>
      </c>
      <c r="F111" s="103" t="str">
        <f t="shared" si="7"/>
        <v>DAVID FIOL ALONSO</v>
      </c>
      <c r="G111" s="106">
        <v>25</v>
      </c>
      <c r="H111" s="640"/>
      <c r="I111" s="107">
        <f>IF(H110="","",G111/H110)</f>
        <v>0.5</v>
      </c>
      <c r="J111" s="106">
        <v>5</v>
      </c>
      <c r="K111" s="108">
        <f>IF(H110="","",IF(G111&lt;G110,0,IF(G111&gt;G110,2,1)))</f>
        <v>0</v>
      </c>
      <c r="L111" s="96"/>
      <c r="AU111" s="142"/>
      <c r="AV111" s="142"/>
      <c r="AW111" s="142"/>
      <c r="AX111" s="142"/>
      <c r="AY111" s="142"/>
      <c r="AZ111" s="142"/>
    </row>
    <row r="112" spans="2:62" s="90" customFormat="1" ht="11.25" customHeight="1">
      <c r="B112" s="179"/>
      <c r="G112" s="179">
        <f>SUM(G106:G111)</f>
        <v>150</v>
      </c>
      <c r="N112" s="133"/>
      <c r="O112" s="135"/>
      <c r="P112" s="133"/>
      <c r="Q112" s="133"/>
      <c r="R112" s="133"/>
      <c r="S112" s="133"/>
      <c r="T112" s="133"/>
      <c r="U112" s="136"/>
      <c r="V112" s="135"/>
      <c r="W112" s="133"/>
      <c r="X112" s="133"/>
      <c r="Y112" s="133"/>
      <c r="Z112" s="133"/>
      <c r="AA112" s="133"/>
      <c r="AB112" s="136"/>
      <c r="AC112" s="135"/>
      <c r="AD112" s="133"/>
      <c r="AE112" s="133"/>
      <c r="AF112" s="133"/>
      <c r="AG112" s="133"/>
      <c r="AH112" s="133"/>
      <c r="AI112" s="132"/>
      <c r="AJ112" s="143"/>
      <c r="AK112" s="141"/>
      <c r="AL112" s="89"/>
      <c r="AM112" s="89"/>
      <c r="AN112" s="89"/>
      <c r="AO112" s="89"/>
      <c r="AP112" s="89"/>
      <c r="AQ112" s="89"/>
      <c r="AR112" s="132"/>
      <c r="AS112" s="143"/>
      <c r="AT112" s="141"/>
      <c r="AU112" s="142"/>
      <c r="AV112" s="142"/>
      <c r="AW112" s="142"/>
      <c r="AX112" s="142"/>
      <c r="AY112" s="142"/>
      <c r="AZ112" s="142"/>
      <c r="BA112" s="136"/>
      <c r="BB112" s="143"/>
      <c r="BC112" s="141"/>
      <c r="BD112" s="89"/>
      <c r="BE112" s="89"/>
      <c r="BF112" s="89"/>
      <c r="BG112" s="89"/>
      <c r="BH112" s="89"/>
      <c r="BI112" s="89"/>
      <c r="BJ112" s="136"/>
    </row>
    <row r="113" spans="2:52" ht="12.75" thickBot="1">
      <c r="B113" s="179" t="s">
        <v>271</v>
      </c>
      <c r="D113" s="119" t="s">
        <v>268</v>
      </c>
      <c r="E113" s="110" t="str">
        <f>C106</f>
        <v>P</v>
      </c>
      <c r="F113" s="89" t="s">
        <v>262</v>
      </c>
      <c r="G113" s="89" t="s">
        <v>263</v>
      </c>
      <c r="H113" s="89" t="s">
        <v>264</v>
      </c>
      <c r="I113" s="89" t="s">
        <v>309</v>
      </c>
      <c r="J113" s="89" t="s">
        <v>266</v>
      </c>
      <c r="K113" s="89" t="s">
        <v>301</v>
      </c>
      <c r="L113" s="89" t="s">
        <v>269</v>
      </c>
      <c r="M113" s="109" t="s">
        <v>272</v>
      </c>
      <c r="N113" s="133" t="s">
        <v>270</v>
      </c>
      <c r="AU113" s="142"/>
      <c r="AV113" s="142"/>
      <c r="AW113" s="142"/>
      <c r="AX113" s="142"/>
      <c r="AY113" s="142"/>
      <c r="AZ113" s="142"/>
    </row>
    <row r="114" spans="2:52" ht="18" thickTop="1">
      <c r="B114" s="179">
        <f>N114</f>
        <v>1</v>
      </c>
      <c r="C114" s="179" t="s">
        <v>111</v>
      </c>
      <c r="D114" s="91">
        <v>32</v>
      </c>
      <c r="E114" s="93">
        <v>1</v>
      </c>
      <c r="F114" s="92" t="str">
        <f>IF(D114="","",VLOOKUP(D114,'Ranquing Inicial'!$B$6:$V$69,2,0))</f>
        <v>MANEL LOZANO HERRERO</v>
      </c>
      <c r="G114" s="93">
        <f>SUM(G108,G110)</f>
        <v>60</v>
      </c>
      <c r="H114" s="93">
        <f>SUM(H108,H110)</f>
        <v>88</v>
      </c>
      <c r="I114" s="111">
        <f>IF(H114="","",G114/H114)</f>
        <v>0.6818181818181818</v>
      </c>
      <c r="J114" s="93">
        <f>MAX(J108,J110)</f>
        <v>5</v>
      </c>
      <c r="K114" s="95">
        <f>SUM(K108,K110)</f>
        <v>4</v>
      </c>
      <c r="L114" s="200" t="str">
        <f>IF(ISERROR(I114),"",N114&amp;"º")</f>
        <v>1º</v>
      </c>
      <c r="M114" s="112">
        <f>IF(ISERROR(I114),"",SUM(K114,I114/1000,J114/1000000))</f>
        <v>4.000686818181818</v>
      </c>
      <c r="N114" s="133">
        <f>IF(ISERROR(I114),"",RANK(M114,M114:M116))</f>
        <v>1</v>
      </c>
      <c r="O114" s="137" t="str">
        <f>IF(N114=1,VLOOKUP(1,B114:K116,5,0),"")</f>
        <v>MANEL LOZANO HERRERO</v>
      </c>
      <c r="P114" s="138">
        <f>IF(N114=1,VLOOKUP(1,B114:K116,6,0),"")</f>
        <v>60</v>
      </c>
      <c r="Q114" s="138">
        <f>IF(N114=1,VLOOKUP(1,B114:K116,7,0),"")</f>
        <v>88</v>
      </c>
      <c r="R114" s="139">
        <f>IF(N114=1,VLOOKUP(1,B114:K116,8,0),"")</f>
        <v>0.6818181818181818</v>
      </c>
      <c r="S114" s="138">
        <f>IF(N114=1,VLOOKUP(1,B114:K116,9,0),"")</f>
        <v>5</v>
      </c>
      <c r="T114" s="138">
        <f>IF(N114=1,VLOOKUP(1,B114:K116,10,0),"")</f>
        <v>4</v>
      </c>
      <c r="V114" s="137">
        <f>IF(N114=2,VLOOKUP(2,B114:K116,5,0),"")</f>
      </c>
      <c r="W114" s="138">
        <f>IF(N114=2,VLOOKUP(2,B114:K116,6,0),"")</f>
      </c>
      <c r="X114" s="138">
        <f>IF(N114=2,VLOOKUP(2,B114:K116,7,0),"")</f>
      </c>
      <c r="Y114" s="139">
        <f>IF(N114=2,VLOOKUP(2,B114:K116,8,0),"")</f>
      </c>
      <c r="Z114" s="138">
        <f>IF(N114=2,VLOOKUP(2,B114:K116,9,0),"")</f>
      </c>
      <c r="AA114" s="138">
        <f>IF(N114=2,VLOOKUP(2,$B$16:$K$18,10,0),"")</f>
      </c>
      <c r="AC114" s="135">
        <f>IF(N114=3,VLOOKUP(3,B114:K116,5,0),"")</f>
      </c>
      <c r="AD114" s="138">
        <f>IF(N114=3,VLOOKUP(3,B114:K116,6,0),"")</f>
      </c>
      <c r="AE114" s="138">
        <f>IF(N114=3,VLOOKUP(3,B114:K116,7,0),"")</f>
      </c>
      <c r="AF114" s="139">
        <f>IF(N114=3,VLOOKUP(3,B114:K116,8,0),"")</f>
      </c>
      <c r="AG114" s="138">
        <f>IF(N114=3,VLOOKUP(3,B114:K116,9,0),"")</f>
      </c>
      <c r="AH114" s="138">
        <f>IF(N114=3,VLOOKUP(3,B114:K116,10,0),"")</f>
      </c>
      <c r="AU114" s="142"/>
      <c r="AV114" s="142"/>
      <c r="AW114" s="142"/>
      <c r="AX114" s="142"/>
      <c r="AY114" s="142"/>
      <c r="AZ114" s="142"/>
    </row>
    <row r="115" spans="2:61" ht="16.5">
      <c r="B115" s="179">
        <f>N115</f>
        <v>2</v>
      </c>
      <c r="C115" s="179" t="s">
        <v>112</v>
      </c>
      <c r="D115" s="113">
        <v>33</v>
      </c>
      <c r="E115" s="114">
        <v>2</v>
      </c>
      <c r="F115" s="115" t="str">
        <f>IF(D115="","",VLOOKUP(D115,'Ranquing Inicial'!$B$6:$V$69,2,0))</f>
        <v>JOAN ANTONI NAVARRO CARMONA</v>
      </c>
      <c r="G115" s="114">
        <f>SUM(G106,G109)</f>
        <v>47</v>
      </c>
      <c r="H115" s="114">
        <f>SUM(H106,H108)</f>
        <v>80</v>
      </c>
      <c r="I115" s="116">
        <f>IF(H115="","",G115/H115)</f>
        <v>0.5875</v>
      </c>
      <c r="J115" s="114">
        <f>MAX(J106,J109)</f>
        <v>4</v>
      </c>
      <c r="K115" s="117">
        <f>SUM(K106,K109)</f>
        <v>2</v>
      </c>
      <c r="L115" s="199" t="str">
        <f>IF(ISERROR(I115),"",N115&amp;"º")</f>
        <v>2º</v>
      </c>
      <c r="M115" s="112">
        <f>IF(ISERROR(I115),"",SUM(K115,I115/1000,J115/1000000))</f>
        <v>2.0005915</v>
      </c>
      <c r="N115" s="133">
        <f>IF(ISERROR(I115),"",RANK(M115,M114:M116))</f>
        <v>2</v>
      </c>
      <c r="O115" s="137">
        <f>IF(N115=1,VLOOKUP(1,B114:K116,5,0),"")</f>
      </c>
      <c r="P115" s="138">
        <f>IF(N115=1,VLOOKUP(1,B114:K116,6,0),"")</f>
      </c>
      <c r="Q115" s="138">
        <f>IF(N115=1,VLOOKUP(1,B114:K116,7,0),"")</f>
      </c>
      <c r="R115" s="139">
        <f>IF(N115=1,VLOOKUP(1,B114:K116,8,0),"")</f>
      </c>
      <c r="S115" s="138">
        <f>IF(N115=1,VLOOKUP(1,B114:K116,9,0),"")</f>
      </c>
      <c r="T115" s="138">
        <f>IF(N115=1,VLOOKUP(1,B114:K116,10,0),"")</f>
      </c>
      <c r="V115" s="137" t="str">
        <f>IF(N115=2,VLOOKUP(2,B114:K116,5,0),"")</f>
        <v>JOAN ANTONI NAVARRO CARMONA</v>
      </c>
      <c r="W115" s="138">
        <f>IF(N115=2,VLOOKUP(2,B114:K116,6,0),"")</f>
        <v>47</v>
      </c>
      <c r="X115" s="138">
        <f>IF(N115=2,VLOOKUP(2,B114:K116,7,0),"")</f>
        <v>80</v>
      </c>
      <c r="Y115" s="139">
        <f>IF(N115=2,VLOOKUP(2,B114:$K116,8,0),"")</f>
        <v>0.5875</v>
      </c>
      <c r="Z115" s="138">
        <f>IF(N115=2,VLOOKUP(2,B114:K116,9,0),"")</f>
        <v>4</v>
      </c>
      <c r="AA115" s="138">
        <f>IF(N115=2,VLOOKUP(2,B114:K116,10,0),"")</f>
        <v>2</v>
      </c>
      <c r="AC115" s="135">
        <f>IF(N115=3,VLOOKUP(3,B114:K116,5,0),"")</f>
      </c>
      <c r="AD115" s="138">
        <f>IF(N115=3,VLOOKUP(3,B114:K116,6,0),"")</f>
      </c>
      <c r="AE115" s="138">
        <f>IF(N115=3,VLOOKUP(3,B114:K116,7,0),"")</f>
      </c>
      <c r="AF115" s="139">
        <f>IF(N115=3,VLOOKUP(3,B114:K116,8,0),"")</f>
      </c>
      <c r="AG115" s="138">
        <f>IF(N115=3,VLOOKUP(3,B114:K116,9,0),"")</f>
      </c>
      <c r="AH115" s="138">
        <f>IF(N115=3,VLOOKUP(3,B114:K116,10,0),"")</f>
      </c>
      <c r="AL115" s="90"/>
      <c r="AM115" s="90"/>
      <c r="AN115" s="90"/>
      <c r="AO115" s="90"/>
      <c r="AP115" s="90"/>
      <c r="AQ115" s="90"/>
      <c r="AU115" s="141"/>
      <c r="AV115" s="141"/>
      <c r="AW115" s="141"/>
      <c r="AX115" s="141"/>
      <c r="AY115" s="141"/>
      <c r="AZ115" s="141"/>
      <c r="BD115" s="90"/>
      <c r="BE115" s="90"/>
      <c r="BF115" s="90"/>
      <c r="BG115" s="90"/>
      <c r="BH115" s="90"/>
      <c r="BI115" s="90"/>
    </row>
    <row r="116" spans="2:52" ht="18" thickBot="1">
      <c r="B116" s="179">
        <f>N116</f>
        <v>3</v>
      </c>
      <c r="C116" s="179" t="s">
        <v>113</v>
      </c>
      <c r="D116" s="102">
        <v>49</v>
      </c>
      <c r="E116" s="106">
        <v>3</v>
      </c>
      <c r="F116" s="103" t="str">
        <f>IF(D116="","",VLOOKUP(D116,'Ranquing Inicial'!$B$6:$V$69,2,0))</f>
        <v>DAVID FIOL ALONSO</v>
      </c>
      <c r="G116" s="106">
        <f>SUM(G107,G111)</f>
        <v>43</v>
      </c>
      <c r="H116" s="106">
        <f>SUM(H106,H110)</f>
        <v>92</v>
      </c>
      <c r="I116" s="118">
        <f>IF(H116="","",G116/H116)</f>
        <v>0.4673913043478261</v>
      </c>
      <c r="J116" s="106">
        <f>MAX(J107,J111)</f>
        <v>5</v>
      </c>
      <c r="K116" s="108">
        <f>SUM(K107,K111)</f>
        <v>0</v>
      </c>
      <c r="L116" s="201" t="str">
        <f>IF(ISERROR(I116),"",N116&amp;"º")</f>
        <v>3º</v>
      </c>
      <c r="M116" s="112">
        <f>IF(ISERROR(I116),"",SUM(K116,I116/1000,J116/1000000))</f>
        <v>0.00047239130434782614</v>
      </c>
      <c r="N116" s="133">
        <f>IF(ISERROR(I116),"",RANK(M116,M114:M116))</f>
        <v>3</v>
      </c>
      <c r="O116" s="137">
        <f>IF(N116=1,VLOOKUP(1,B114:K116,5,0),"")</f>
      </c>
      <c r="P116" s="138">
        <f>IF(N116=1,VLOOKUP(1,B114:K116,6,0),"")</f>
      </c>
      <c r="Q116" s="138">
        <f>IF(N116=1,VLOOKUP(1,B114:K116,7,0),"")</f>
      </c>
      <c r="R116" s="139">
        <f>IF(N116=1,VLOOKUP(1,B114:K116,8,0),"")</f>
      </c>
      <c r="S116" s="138">
        <f>IF(N116=1,VLOOKUP(1,B114:K116,9,0),"")</f>
      </c>
      <c r="T116" s="138">
        <f>IF(N116=1,VLOOKUP(1,B114:K116,10,0),"")</f>
      </c>
      <c r="V116" s="135">
        <f>IF(N116=2,VLOOKUP(2,B114:K116,5,0),"")</f>
      </c>
      <c r="W116" s="138">
        <f>IF(N116=2,VLOOKUP(2,B114:K116,6,0),"")</f>
      </c>
      <c r="X116" s="138">
        <f>IF(N116=2,VLOOKUP(2,B114:K116,7,0),"")</f>
      </c>
      <c r="Y116" s="139">
        <f>IF(N116=2,VLOOKUP(2,B114:K116,8,0),"")</f>
      </c>
      <c r="Z116" s="138">
        <f>IF(N116=2,VLOOKUP(2,B114:K116,9,0),"")</f>
      </c>
      <c r="AA116" s="138">
        <f>IF(N116=2,VLOOKUP(2,B114:K116,10,0),"")</f>
      </c>
      <c r="AC116" s="135" t="str">
        <f>IF(N116=3,VLOOKUP(3,B114:K116,5,0),"")</f>
        <v>DAVID FIOL ALONSO</v>
      </c>
      <c r="AD116" s="138">
        <f>IF(N116=3,VLOOKUP(3,B114:K116,6,0),"")</f>
        <v>43</v>
      </c>
      <c r="AE116" s="138">
        <f>IF(N116=3,VLOOKUP(3,B114:K116,7,0),"")</f>
        <v>92</v>
      </c>
      <c r="AF116" s="139">
        <f>IF(N116=3,VLOOKUP(3,B114:K116,8,0),"")</f>
        <v>0.4673913043478261</v>
      </c>
      <c r="AG116" s="138">
        <f>IF(N116=3,VLOOKUP(3,B114:K116,9,0),"")</f>
        <v>5</v>
      </c>
      <c r="AH116" s="138">
        <f>IF(N116=3,VLOOKUP(3,B114:K116,10,0),"")</f>
        <v>0</v>
      </c>
      <c r="AU116" s="142"/>
      <c r="AV116" s="142"/>
      <c r="AW116" s="142"/>
      <c r="AX116" s="142"/>
      <c r="AY116" s="142"/>
      <c r="AZ116" s="142"/>
    </row>
    <row r="117" spans="3:61" ht="11.25" customHeight="1" thickTop="1">
      <c r="C117" s="90"/>
      <c r="D117" s="90"/>
      <c r="E117" s="90"/>
      <c r="F117" s="90"/>
      <c r="G117" s="90"/>
      <c r="H117" s="90"/>
      <c r="I117" s="180">
        <f>MAX(I114:I116)</f>
        <v>0.6818181818181818</v>
      </c>
      <c r="J117" s="179"/>
      <c r="K117" s="179">
        <f>SUM(K114:K116)</f>
        <v>6</v>
      </c>
      <c r="L117" s="179" t="e">
        <f>MODE(K114:K116)</f>
        <v>#N/A</v>
      </c>
      <c r="AJ117" s="144"/>
      <c r="AK117" s="88"/>
      <c r="AL117" s="130"/>
      <c r="AM117" s="130"/>
      <c r="AN117" s="130"/>
      <c r="AO117" s="130"/>
      <c r="AP117" s="130"/>
      <c r="AQ117" s="130"/>
      <c r="AR117" s="144"/>
      <c r="AS117" s="144"/>
      <c r="AT117" s="88"/>
      <c r="AU117" s="130"/>
      <c r="AV117" s="130"/>
      <c r="AW117" s="130"/>
      <c r="AX117" s="130"/>
      <c r="AY117" s="130"/>
      <c r="AZ117" s="130"/>
      <c r="BA117" s="140"/>
      <c r="BB117" s="144"/>
      <c r="BC117" s="88"/>
      <c r="BD117" s="130"/>
      <c r="BE117" s="130"/>
      <c r="BF117" s="130"/>
      <c r="BG117" s="130"/>
      <c r="BH117" s="130"/>
      <c r="BI117" s="130"/>
    </row>
  </sheetData>
  <sheetProtection/>
  <mergeCells count="34">
    <mergeCell ref="H38:H39"/>
    <mergeCell ref="H40:H41"/>
    <mergeCell ref="C8:C13"/>
    <mergeCell ref="H8:H9"/>
    <mergeCell ref="H10:H11"/>
    <mergeCell ref="H12:H13"/>
    <mergeCell ref="C50:C55"/>
    <mergeCell ref="H50:H51"/>
    <mergeCell ref="H52:H53"/>
    <mergeCell ref="H54:H55"/>
    <mergeCell ref="C22:C27"/>
    <mergeCell ref="H22:H23"/>
    <mergeCell ref="H24:H25"/>
    <mergeCell ref="H26:H27"/>
    <mergeCell ref="C36:C41"/>
    <mergeCell ref="H36:H37"/>
    <mergeCell ref="C78:C83"/>
    <mergeCell ref="H78:H79"/>
    <mergeCell ref="H80:H81"/>
    <mergeCell ref="H82:H83"/>
    <mergeCell ref="C2:L2"/>
    <mergeCell ref="C3:L3"/>
    <mergeCell ref="C64:C69"/>
    <mergeCell ref="H64:H65"/>
    <mergeCell ref="H66:H67"/>
    <mergeCell ref="H68:H69"/>
    <mergeCell ref="C106:C111"/>
    <mergeCell ref="H106:H107"/>
    <mergeCell ref="H108:H109"/>
    <mergeCell ref="H110:H111"/>
    <mergeCell ref="C92:C97"/>
    <mergeCell ref="H92:H93"/>
    <mergeCell ref="H94:H95"/>
    <mergeCell ref="H96:H97"/>
  </mergeCells>
  <conditionalFormatting sqref="G16:H18 J44:J46 G30:H32 J16:J18 G44:H46 J30:J32 G58:H60 J58:J60 G72:H74 J86:J88 G86:H88 J72:J74 G100:H102 J100:J102 G114:H116 J114:J116">
    <cfRule type="cellIs" priority="1" dxfId="0" operator="equal" stopIfTrue="1">
      <formula>0</formula>
    </cfRule>
  </conditionalFormatting>
  <conditionalFormatting sqref="F16:F18 F30:F32 F44:F46 F58:F60 F72:F74 F86:F88 F100:F102 F114:F116">
    <cfRule type="expression" priority="2" dxfId="2" stopIfTrue="1">
      <formula>'Sabado A C F H J L N P'!N16=1</formula>
    </cfRule>
  </conditionalFormatting>
  <conditionalFormatting sqref="I16 I30 I44 I58 I72 I86 I100 I114">
    <cfRule type="expression" priority="3" dxfId="0" stopIfTrue="1">
      <formula>ISERROR('Sabado A C F H J L N P'!I16)</formula>
    </cfRule>
    <cfRule type="expression" priority="4" dxfId="2" stopIfTrue="1">
      <formula>'Sabado A C F H J L N P'!I16='Sabado A C F H J L N P'!I19</formula>
    </cfRule>
  </conditionalFormatting>
  <conditionalFormatting sqref="I17 I31 I45 I59 I73 I87 I101 I115">
    <cfRule type="expression" priority="5" dxfId="0" stopIfTrue="1">
      <formula>ISERROR('Sabado A C F H J L N P'!I17)</formula>
    </cfRule>
    <cfRule type="expression" priority="6" dxfId="2" stopIfTrue="1">
      <formula>'Sabado A C F H J L N P'!I17='Sabado A C F H J L N P'!I19</formula>
    </cfRule>
  </conditionalFormatting>
  <conditionalFormatting sqref="I18 I32 I46 I60 I74 I88 I102 I116">
    <cfRule type="expression" priority="7" dxfId="0" stopIfTrue="1">
      <formula>ISERROR('Sabado A C F H J L N P'!I18)</formula>
    </cfRule>
    <cfRule type="expression" priority="8" dxfId="2" stopIfTrue="1">
      <formula>'Sabado A C F H J L N P'!I18='Sabado A C F H J L N P'!I19</formula>
    </cfRule>
  </conditionalFormatting>
  <conditionalFormatting sqref="L16:L18 L30:L32 L44:L46 L58:L60 L72:L74 L86:L88 L100:L102 L114:L116">
    <cfRule type="expression" priority="9" dxfId="2" stopIfTrue="1">
      <formula>'Sabado A C F H J L N P'!N16=1</formula>
    </cfRule>
  </conditionalFormatting>
  <printOptions/>
  <pageMargins left="0.5905511811023623" right="0.1968503937007874" top="0.3937007874015748" bottom="0" header="0" footer="0"/>
  <pageSetup orientation="portrait" paperSize="9" scale="88"/>
  <rowBreaks count="1" manualBreakCount="1">
    <brk id="62" max="255" man="1"/>
  </rowBreaks>
  <colBreaks count="1" manualBreakCount="1">
    <brk id="1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BK116"/>
  <sheetViews>
    <sheetView showGridLines="0" workbookViewId="0" topLeftCell="A1">
      <selection activeCell="E1" sqref="E1"/>
    </sheetView>
  </sheetViews>
  <sheetFormatPr defaultColWidth="11.57421875" defaultRowHeight="12.75"/>
  <cols>
    <col min="1" max="1" width="3.00390625" style="89" customWidth="1"/>
    <col min="2" max="2" width="4.421875" style="179" bestFit="1" customWidth="1"/>
    <col min="3" max="3" width="5.140625" style="89" customWidth="1"/>
    <col min="4" max="4" width="8.421875" style="89" customWidth="1"/>
    <col min="5" max="5" width="5.140625" style="89" customWidth="1"/>
    <col min="6" max="6" width="37.140625" style="89" customWidth="1"/>
    <col min="7" max="7" width="7.140625" style="89" customWidth="1"/>
    <col min="8" max="8" width="6.8515625" style="89" customWidth="1"/>
    <col min="9" max="9" width="8.00390625" style="89" customWidth="1"/>
    <col min="10" max="12" width="7.140625" style="89" customWidth="1"/>
    <col min="13" max="13" width="12.421875" style="109" hidden="1" customWidth="1"/>
    <col min="14" max="14" width="4.28125" style="133" hidden="1" customWidth="1"/>
    <col min="15" max="15" width="7.140625" style="135" hidden="1" customWidth="1"/>
    <col min="16" max="20" width="5.140625" style="133" hidden="1" customWidth="1"/>
    <col min="21" max="21" width="1.7109375" style="136" hidden="1" customWidth="1"/>
    <col min="22" max="22" width="7.140625" style="135" hidden="1" customWidth="1"/>
    <col min="23" max="27" width="5.140625" style="133" hidden="1" customWidth="1"/>
    <col min="28" max="28" width="1.7109375" style="136" hidden="1" customWidth="1"/>
    <col min="29" max="29" width="7.140625" style="135" hidden="1" customWidth="1"/>
    <col min="30" max="34" width="5.140625" style="133" hidden="1" customWidth="1"/>
    <col min="35" max="35" width="1.7109375" style="132" hidden="1" customWidth="1"/>
    <col min="36" max="36" width="3.8515625" style="143" hidden="1" customWidth="1"/>
    <col min="37" max="37" width="2.8515625" style="141" hidden="1" customWidth="1"/>
    <col min="38" max="38" width="28.421875" style="89" hidden="1" customWidth="1"/>
    <col min="39" max="39" width="3.00390625" style="89" hidden="1" customWidth="1"/>
    <col min="40" max="40" width="5.7109375" style="89" hidden="1" customWidth="1"/>
    <col min="41" max="41" width="6.140625" style="89" hidden="1" customWidth="1"/>
    <col min="42" max="43" width="5.7109375" style="89" hidden="1" customWidth="1"/>
    <col min="44" max="44" width="1.7109375" style="132" hidden="1" customWidth="1"/>
    <col min="45" max="45" width="3.8515625" style="143" hidden="1" customWidth="1"/>
    <col min="46" max="46" width="2.8515625" style="141" hidden="1" customWidth="1"/>
    <col min="47" max="47" width="28.421875" style="89" hidden="1" customWidth="1"/>
    <col min="48" max="48" width="3.00390625" style="89" hidden="1" customWidth="1"/>
    <col min="49" max="49" width="5.7109375" style="89" hidden="1" customWidth="1"/>
    <col min="50" max="50" width="6.140625" style="89" hidden="1" customWidth="1"/>
    <col min="51" max="52" width="5.7109375" style="89" hidden="1" customWidth="1"/>
    <col min="53" max="53" width="1.7109375" style="136" hidden="1" customWidth="1"/>
    <col min="54" max="54" width="3.8515625" style="143" hidden="1" customWidth="1"/>
    <col min="55" max="55" width="2.8515625" style="141" hidden="1" customWidth="1"/>
    <col min="56" max="56" width="28.421875" style="89" hidden="1" customWidth="1"/>
    <col min="57" max="57" width="3.00390625" style="89" hidden="1" customWidth="1"/>
    <col min="58" max="58" width="5.7109375" style="89" hidden="1" customWidth="1"/>
    <col min="59" max="59" width="6.140625" style="89" hidden="1" customWidth="1"/>
    <col min="60" max="61" width="5.7109375" style="89" hidden="1" customWidth="1"/>
    <col min="62" max="62" width="1.7109375" style="136" hidden="1" customWidth="1"/>
    <col min="63" max="63" width="3.7109375" style="89" hidden="1" customWidth="1"/>
    <col min="64" max="64" width="22.00390625" style="89" customWidth="1"/>
    <col min="65" max="16384" width="11.421875" style="89" customWidth="1"/>
  </cols>
  <sheetData>
    <row r="1" spans="2:62" s="142" customFormat="1" ht="9.75" customHeight="1">
      <c r="B1" s="181"/>
      <c r="M1" s="232"/>
      <c r="N1" s="183"/>
      <c r="O1" s="183"/>
      <c r="P1" s="183"/>
      <c r="Q1" s="183"/>
      <c r="R1" s="183"/>
      <c r="S1" s="183"/>
      <c r="T1" s="183"/>
      <c r="U1" s="183"/>
      <c r="V1" s="182"/>
      <c r="W1" s="183"/>
      <c r="X1" s="183"/>
      <c r="Y1" s="183"/>
      <c r="Z1" s="183"/>
      <c r="AA1" s="183"/>
      <c r="AB1" s="183"/>
      <c r="AC1" s="182"/>
      <c r="AD1" s="183"/>
      <c r="AE1" s="183"/>
      <c r="AF1" s="183"/>
      <c r="AG1" s="183"/>
      <c r="AH1" s="183"/>
      <c r="AI1" s="141"/>
      <c r="AJ1" s="141"/>
      <c r="AK1" s="141"/>
      <c r="AR1" s="141"/>
      <c r="AS1" s="141"/>
      <c r="AT1" s="141"/>
      <c r="BA1" s="183"/>
      <c r="BB1" s="141"/>
      <c r="BC1" s="141"/>
      <c r="BJ1" s="183"/>
    </row>
    <row r="2" spans="3:56" ht="23.25">
      <c r="C2" s="641" t="s">
        <v>173</v>
      </c>
      <c r="D2" s="641"/>
      <c r="E2" s="641"/>
      <c r="F2" s="641"/>
      <c r="G2" s="641"/>
      <c r="H2" s="641"/>
      <c r="I2" s="641"/>
      <c r="J2" s="641"/>
      <c r="K2" s="641"/>
      <c r="L2" s="641"/>
      <c r="AL2" s="145" t="s">
        <v>277</v>
      </c>
      <c r="AU2" s="145" t="s">
        <v>278</v>
      </c>
      <c r="BD2" s="145" t="s">
        <v>279</v>
      </c>
    </row>
    <row r="3" spans="3:60" ht="27.75" customHeight="1">
      <c r="C3" s="642" t="s">
        <v>302</v>
      </c>
      <c r="D3" s="642"/>
      <c r="E3" s="642"/>
      <c r="F3" s="642"/>
      <c r="G3" s="649"/>
      <c r="H3" s="649"/>
      <c r="I3" s="649"/>
      <c r="J3" s="649"/>
      <c r="K3" s="649"/>
      <c r="L3" s="649"/>
      <c r="AL3" s="177" t="s">
        <v>281</v>
      </c>
      <c r="AN3" s="165" t="s">
        <v>286</v>
      </c>
      <c r="AO3" s="166" t="s">
        <v>287</v>
      </c>
      <c r="AP3" s="167" t="s">
        <v>288</v>
      </c>
      <c r="AU3" s="177" t="s">
        <v>282</v>
      </c>
      <c r="AW3" s="165" t="s">
        <v>283</v>
      </c>
      <c r="AX3" s="166" t="s">
        <v>284</v>
      </c>
      <c r="AY3" s="167" t="s">
        <v>285</v>
      </c>
      <c r="BD3" s="177" t="s">
        <v>291</v>
      </c>
      <c r="BF3" s="165" t="s">
        <v>292</v>
      </c>
      <c r="BG3" s="166" t="s">
        <v>293</v>
      </c>
      <c r="BH3" s="167" t="s">
        <v>294</v>
      </c>
    </row>
    <row r="4" spans="3:62" ht="9" customHeight="1">
      <c r="C4" s="125"/>
      <c r="D4" s="125"/>
      <c r="E4" s="125"/>
      <c r="F4" s="125"/>
      <c r="G4" s="125"/>
      <c r="H4" s="125"/>
      <c r="I4" s="125"/>
      <c r="J4" s="125"/>
      <c r="K4" s="125"/>
      <c r="L4" s="125"/>
      <c r="O4" s="133" t="s">
        <v>274</v>
      </c>
      <c r="U4" s="134"/>
      <c r="V4" s="133" t="s">
        <v>275</v>
      </c>
      <c r="AB4" s="134"/>
      <c r="AC4" s="133" t="s">
        <v>276</v>
      </c>
      <c r="AI4" s="131"/>
      <c r="AJ4" s="141"/>
      <c r="AR4" s="131"/>
      <c r="AS4" s="141"/>
      <c r="BA4" s="134"/>
      <c r="BB4" s="141"/>
      <c r="BJ4" s="134"/>
    </row>
    <row r="5" ht="9" customHeight="1"/>
    <row r="6" spans="6:38" ht="12.75" thickBot="1">
      <c r="F6" s="89" t="s">
        <v>262</v>
      </c>
      <c r="G6" s="89" t="s">
        <v>263</v>
      </c>
      <c r="H6" s="89" t="s">
        <v>264</v>
      </c>
      <c r="I6" s="89" t="s">
        <v>309</v>
      </c>
      <c r="J6" s="89" t="s">
        <v>266</v>
      </c>
      <c r="K6" s="89" t="s">
        <v>301</v>
      </c>
      <c r="AL6" s="89" t="s">
        <v>304</v>
      </c>
    </row>
    <row r="7" spans="3:12" ht="15.75" customHeight="1" thickTop="1">
      <c r="C7" s="646" t="str">
        <f>'Fase Grups'!F5</f>
        <v>B</v>
      </c>
      <c r="D7" s="123">
        <f>'Fase Grups'!$N$13</f>
        <v>0.3958333333333333</v>
      </c>
      <c r="E7" s="91" t="str">
        <f>C16</f>
        <v>B2</v>
      </c>
      <c r="F7" s="126" t="str">
        <f aca="true" t="shared" si="0" ref="F7:F12">VLOOKUP(E7,$C$15:$F$17,4,1)</f>
        <v>HENRY CASTRO TÉLLEZ</v>
      </c>
      <c r="G7" s="120">
        <v>20</v>
      </c>
      <c r="H7" s="644">
        <v>50</v>
      </c>
      <c r="I7" s="94">
        <f>IF(H7="","",G7/H7)</f>
        <v>0.4</v>
      </c>
      <c r="J7" s="120">
        <v>4</v>
      </c>
      <c r="K7" s="95">
        <f>IF(H7="","",IF(G7&lt;G8,0,IF(G7&gt;G8,2,1)))</f>
        <v>2</v>
      </c>
      <c r="L7" s="96"/>
    </row>
    <row r="8" spans="3:12" ht="15.75" customHeight="1" thickBot="1">
      <c r="C8" s="647"/>
      <c r="D8" s="124" t="str">
        <f>CONCATENATE("Mesa ",'Fase Grups'!$P$12)</f>
        <v>Mesa 1</v>
      </c>
      <c r="E8" s="97" t="str">
        <f>C17</f>
        <v>B3</v>
      </c>
      <c r="F8" s="127" t="str">
        <f t="shared" si="0"/>
        <v>MARTA SERRAMITJANA JUAN</v>
      </c>
      <c r="G8" s="121">
        <v>14</v>
      </c>
      <c r="H8" s="645"/>
      <c r="I8" s="100">
        <f>IF(H7="","",G8/H7)</f>
        <v>0.28</v>
      </c>
      <c r="J8" s="121">
        <v>3</v>
      </c>
      <c r="K8" s="101">
        <f>IF(H7="","",IF(G8&lt;G7,0,IF(G8&gt;G7,2,1)))</f>
        <v>0</v>
      </c>
      <c r="L8" s="96"/>
    </row>
    <row r="9" spans="3:12" ht="15.75" customHeight="1" thickTop="1">
      <c r="C9" s="647"/>
      <c r="D9" s="123">
        <v>0.7291666666666666</v>
      </c>
      <c r="E9" s="91" t="str">
        <f>C15</f>
        <v>B1</v>
      </c>
      <c r="F9" s="126" t="str">
        <f t="shared" si="0"/>
        <v>JONATAN HERNÁNDEZ LÓPEZ</v>
      </c>
      <c r="G9" s="120">
        <v>30</v>
      </c>
      <c r="H9" s="644">
        <v>42</v>
      </c>
      <c r="I9" s="94">
        <f>IF(H9="","",G9/H9)</f>
        <v>0.7142857142857143</v>
      </c>
      <c r="J9" s="120">
        <v>3</v>
      </c>
      <c r="K9" s="95">
        <f>IF(H9="","",IF(G9&lt;G10,0,IF(G9&gt;G10,2,1)))</f>
        <v>2</v>
      </c>
      <c r="L9" s="96"/>
    </row>
    <row r="10" spans="3:12" ht="15.75" customHeight="1" thickBot="1">
      <c r="C10" s="647"/>
      <c r="D10" s="197" t="s">
        <v>305</v>
      </c>
      <c r="E10" s="102" t="str">
        <f>C16</f>
        <v>B2</v>
      </c>
      <c r="F10" s="128" t="str">
        <f t="shared" si="0"/>
        <v>HENRY CASTRO TÉLLEZ</v>
      </c>
      <c r="G10" s="121">
        <v>21</v>
      </c>
      <c r="H10" s="645"/>
      <c r="I10" s="100">
        <f>IF(H9="","",G10/H9)</f>
        <v>0.5</v>
      </c>
      <c r="J10" s="121">
        <v>4</v>
      </c>
      <c r="K10" s="101">
        <f>IF(H9="","",IF(G10&lt;G9,0,IF(G10&gt;G9,2,1)))</f>
        <v>0</v>
      </c>
      <c r="L10" s="96"/>
    </row>
    <row r="11" spans="3:12" ht="15.75" customHeight="1" thickTop="1">
      <c r="C11" s="647"/>
      <c r="D11" s="196">
        <v>0.5208333333333334</v>
      </c>
      <c r="E11" s="104" t="str">
        <f>C15</f>
        <v>B1</v>
      </c>
      <c r="F11" s="129" t="str">
        <f t="shared" si="0"/>
        <v>JONATAN HERNÁNDEZ LÓPEZ</v>
      </c>
      <c r="G11" s="120">
        <v>30</v>
      </c>
      <c r="H11" s="644">
        <v>42</v>
      </c>
      <c r="I11" s="94">
        <f>IF(H11="","",G11/H11)</f>
        <v>0.7142857142857143</v>
      </c>
      <c r="J11" s="120">
        <v>4</v>
      </c>
      <c r="K11" s="95">
        <f>IF(H11="","",IF(G11&lt;G12,0,IF(G11&gt;G12,2,1)))</f>
        <v>2</v>
      </c>
      <c r="L11" s="96"/>
    </row>
    <row r="12" spans="3:12" ht="15.75" customHeight="1" thickBot="1">
      <c r="C12" s="648"/>
      <c r="D12" s="197" t="s">
        <v>305</v>
      </c>
      <c r="E12" s="102" t="str">
        <f>C17</f>
        <v>B3</v>
      </c>
      <c r="F12" s="128" t="str">
        <f t="shared" si="0"/>
        <v>MARTA SERRAMITJANA JUAN</v>
      </c>
      <c r="G12" s="122">
        <v>21</v>
      </c>
      <c r="H12" s="645"/>
      <c r="I12" s="107">
        <f>IF(H11="","",G12/H11)</f>
        <v>0.5</v>
      </c>
      <c r="J12" s="122">
        <v>2</v>
      </c>
      <c r="K12" s="108">
        <f>IF(H11="","",IF(G12&lt;G11,0,IF(G12&gt;G11,2,1)))</f>
        <v>0</v>
      </c>
      <c r="L12" s="96"/>
    </row>
    <row r="13" spans="2:62" s="90" customFormat="1" ht="9.75">
      <c r="B13" s="179"/>
      <c r="G13" s="179">
        <f>SUM(G7:G12)</f>
        <v>136</v>
      </c>
      <c r="M13" s="109"/>
      <c r="N13" s="133"/>
      <c r="O13" s="133"/>
      <c r="P13" s="133"/>
      <c r="Q13" s="133"/>
      <c r="R13" s="133"/>
      <c r="S13" s="133"/>
      <c r="T13" s="133"/>
      <c r="U13" s="134"/>
      <c r="V13" s="133"/>
      <c r="W13" s="133"/>
      <c r="X13" s="133"/>
      <c r="Y13" s="133"/>
      <c r="Z13" s="133"/>
      <c r="AA13" s="133"/>
      <c r="AB13" s="134"/>
      <c r="AC13" s="133"/>
      <c r="AD13" s="133"/>
      <c r="AE13" s="133"/>
      <c r="AF13" s="133"/>
      <c r="AG13" s="133"/>
      <c r="AH13" s="133"/>
      <c r="AI13" s="131"/>
      <c r="AJ13" s="141"/>
      <c r="AK13" s="141"/>
      <c r="AR13" s="131"/>
      <c r="AS13" s="141"/>
      <c r="AT13" s="141"/>
      <c r="BA13" s="134"/>
      <c r="BB13" s="141"/>
      <c r="BC13" s="141"/>
      <c r="BJ13" s="134"/>
    </row>
    <row r="14" spans="2:62" ht="12.75" thickBot="1">
      <c r="B14" s="179" t="s">
        <v>271</v>
      </c>
      <c r="C14" s="257"/>
      <c r="D14" s="119" t="s">
        <v>268</v>
      </c>
      <c r="E14" s="173" t="str">
        <f>C7</f>
        <v>B</v>
      </c>
      <c r="F14" s="89" t="s">
        <v>262</v>
      </c>
      <c r="G14" s="89" t="s">
        <v>263</v>
      </c>
      <c r="H14" s="89" t="s">
        <v>264</v>
      </c>
      <c r="I14" s="89" t="s">
        <v>309</v>
      </c>
      <c r="J14" s="89" t="s">
        <v>266</v>
      </c>
      <c r="K14" s="89" t="s">
        <v>301</v>
      </c>
      <c r="L14" s="89" t="s">
        <v>269</v>
      </c>
      <c r="M14" s="109" t="s">
        <v>272</v>
      </c>
      <c r="N14" s="133" t="s">
        <v>270</v>
      </c>
      <c r="O14" s="137" t="s">
        <v>274</v>
      </c>
      <c r="P14" s="133" t="s">
        <v>263</v>
      </c>
      <c r="Q14" s="133" t="s">
        <v>264</v>
      </c>
      <c r="R14" s="133" t="s">
        <v>265</v>
      </c>
      <c r="S14" s="133" t="s">
        <v>266</v>
      </c>
      <c r="T14" s="133" t="s">
        <v>267</v>
      </c>
      <c r="U14" s="134"/>
      <c r="V14" s="137"/>
      <c r="W14" s="133" t="s">
        <v>263</v>
      </c>
      <c r="X14" s="133" t="s">
        <v>264</v>
      </c>
      <c r="Y14" s="133" t="s">
        <v>265</v>
      </c>
      <c r="Z14" s="133" t="s">
        <v>266</v>
      </c>
      <c r="AA14" s="133" t="s">
        <v>267</v>
      </c>
      <c r="AB14" s="134"/>
      <c r="AD14" s="133" t="s">
        <v>263</v>
      </c>
      <c r="AE14" s="133" t="s">
        <v>264</v>
      </c>
      <c r="AF14" s="133" t="s">
        <v>265</v>
      </c>
      <c r="AG14" s="133" t="s">
        <v>266</v>
      </c>
      <c r="AH14" s="133" t="s">
        <v>267</v>
      </c>
      <c r="AI14" s="131"/>
      <c r="AJ14" s="141" t="s">
        <v>280</v>
      </c>
      <c r="AL14" s="135"/>
      <c r="AM14" s="133" t="s">
        <v>263</v>
      </c>
      <c r="AN14" s="133" t="s">
        <v>264</v>
      </c>
      <c r="AO14" s="162" t="s">
        <v>265</v>
      </c>
      <c r="AP14" s="163" t="s">
        <v>266</v>
      </c>
      <c r="AQ14" s="164" t="s">
        <v>267</v>
      </c>
      <c r="AR14" s="131"/>
      <c r="AS14" s="141" t="s">
        <v>280</v>
      </c>
      <c r="AU14" s="135"/>
      <c r="AV14" s="133" t="s">
        <v>263</v>
      </c>
      <c r="AW14" s="133" t="s">
        <v>264</v>
      </c>
      <c r="AX14" s="162" t="s">
        <v>265</v>
      </c>
      <c r="AY14" s="163" t="s">
        <v>266</v>
      </c>
      <c r="AZ14" s="164" t="s">
        <v>267</v>
      </c>
      <c r="BA14" s="134"/>
      <c r="BB14" s="141" t="s">
        <v>280</v>
      </c>
      <c r="BD14" s="135"/>
      <c r="BE14" s="133" t="s">
        <v>263</v>
      </c>
      <c r="BF14" s="133" t="s">
        <v>264</v>
      </c>
      <c r="BG14" s="162" t="s">
        <v>265</v>
      </c>
      <c r="BH14" s="163" t="s">
        <v>266</v>
      </c>
      <c r="BI14" s="164" t="s">
        <v>267</v>
      </c>
      <c r="BJ14" s="134"/>
    </row>
    <row r="15" spans="2:61" ht="18" thickTop="1">
      <c r="B15" s="179">
        <f>N15</f>
        <v>1</v>
      </c>
      <c r="C15" s="179" t="str">
        <f>CONCATENATE(C7,E15)</f>
        <v>B1</v>
      </c>
      <c r="D15" s="91">
        <v>18</v>
      </c>
      <c r="E15" s="93">
        <v>1</v>
      </c>
      <c r="F15" s="92" t="str">
        <f>IF(D15="","",VLOOKUP(D15,'Ranquing Inicial'!$B$6:$V$69,2,0))</f>
        <v>JONATAN HERNÁNDEZ LÓPEZ</v>
      </c>
      <c r="G15" s="93">
        <f>SUM(G9,G11)</f>
        <v>60</v>
      </c>
      <c r="H15" s="93">
        <f>SUM(H9,H11)</f>
        <v>84</v>
      </c>
      <c r="I15" s="111">
        <f>IF(H15="","",G15/H15)</f>
        <v>0.7142857142857143</v>
      </c>
      <c r="J15" s="93">
        <f>MAX(J9,J11)</f>
        <v>4</v>
      </c>
      <c r="K15" s="95">
        <f>SUM(K9,K11)</f>
        <v>4</v>
      </c>
      <c r="L15" s="200" t="str">
        <f>IF(ISERROR(I15),"",N15&amp;"º")</f>
        <v>1º</v>
      </c>
      <c r="M15" s="112">
        <f>IF(ISERROR(I15),"",SUM(K15,I15/1000,J15/1000000))</f>
        <v>4.000718285714285</v>
      </c>
      <c r="N15" s="133">
        <f>IF(ISERROR(I15),"",RANK(M15,M15:M17))</f>
        <v>1</v>
      </c>
      <c r="O15" s="137" t="str">
        <f>IF(N15=1,VLOOKUP(1,B15:K17,5,0),"")</f>
        <v>JONATAN HERNÁNDEZ LÓPEZ</v>
      </c>
      <c r="P15" s="138">
        <f>IF(N15=1,VLOOKUP(1,B15:K17,6,0),"")</f>
        <v>60</v>
      </c>
      <c r="Q15" s="138">
        <f>IF(N15=1,VLOOKUP(1,B15:K17,7,0),"")</f>
        <v>84</v>
      </c>
      <c r="R15" s="139">
        <f>IF(N15=1,VLOOKUP(1,B15:K17,8,0),"")</f>
        <v>0.7142857142857143</v>
      </c>
      <c r="S15" s="138">
        <f>IF(N15=1,VLOOKUP(1,B15:K17,9,0),"")</f>
        <v>4</v>
      </c>
      <c r="T15" s="138">
        <f>IF(N15=1,VLOOKUP(1,B15:K17,10,0),"")</f>
        <v>4</v>
      </c>
      <c r="V15" s="137">
        <f>IF(N15=2,VLOOKUP(2,B15:K17,5,0),"")</f>
      </c>
      <c r="W15" s="138">
        <f>IF(N15=2,VLOOKUP(2,B15:K17,6,0),"")</f>
      </c>
      <c r="X15" s="138">
        <f>IF(N15=2,VLOOKUP(2,B15:K17,7,0),"")</f>
      </c>
      <c r="Y15" s="139">
        <f>IF(N15=2,VLOOKUP(2,B15:K17,8,0),"")</f>
      </c>
      <c r="Z15" s="138">
        <f>IF(N15=2,VLOOKUP(2,B15:K17,9,0),"")</f>
      </c>
      <c r="AA15" s="138">
        <f>IF(N15=2,VLOOKUP(2,$B$15:$K$17,10,0),"")</f>
      </c>
      <c r="AC15" s="135">
        <f>IF(N15=3,VLOOKUP(3,B15:K17,5,0),"")</f>
      </c>
      <c r="AD15" s="138">
        <f>IF(N15=3,VLOOKUP(3,B15:K17,6,0),"")</f>
      </c>
      <c r="AE15" s="138">
        <f>IF(N15=3,VLOOKUP(3,B15:K17,7,0),"")</f>
      </c>
      <c r="AF15" s="139">
        <f>IF(N15=3,VLOOKUP(3,B15:K17,8,0),"")</f>
      </c>
      <c r="AG15" s="138">
        <f>IF(N15=3,VLOOKUP(3,B15:K17,9,0),"")</f>
      </c>
      <c r="AH15" s="138">
        <f>IF(N15=3,VLOOKUP(3,B15:K17,10,0),"")</f>
      </c>
      <c r="AL15" s="174">
        <f>$O$17</f>
      </c>
      <c r="AM15" s="175">
        <f>$P$17</f>
      </c>
      <c r="AN15" s="175">
        <f>$Q$17</f>
      </c>
      <c r="AO15" s="176">
        <f>$R$17</f>
      </c>
      <c r="AP15" s="175">
        <f>$S$17</f>
      </c>
      <c r="AQ15" s="175">
        <f>$T$17</f>
      </c>
      <c r="AU15" s="174">
        <f>$V$17</f>
      </c>
      <c r="AV15" s="175">
        <f>$W$17</f>
      </c>
      <c r="AW15" s="175">
        <f>$X$17</f>
      </c>
      <c r="AX15" s="176">
        <f>$Y$17</f>
      </c>
      <c r="AY15" s="175">
        <f>$Z$17</f>
      </c>
      <c r="AZ15" s="175">
        <f>$AA$17</f>
      </c>
      <c r="BD15" s="174">
        <f>$AC$15</f>
      </c>
      <c r="BE15" s="175">
        <f>$AD$15</f>
      </c>
      <c r="BF15" s="175">
        <f>$AE$15</f>
      </c>
      <c r="BG15" s="176">
        <f>$AF$15</f>
      </c>
      <c r="BH15" s="175">
        <f>$AG$15</f>
      </c>
      <c r="BI15" s="175">
        <f>$AH$15</f>
      </c>
    </row>
    <row r="16" spans="2:61" ht="16.5">
      <c r="B16" s="179">
        <f>N16</f>
        <v>2</v>
      </c>
      <c r="C16" s="179" t="str">
        <f>CONCATENATE(C7,E16)</f>
        <v>B2</v>
      </c>
      <c r="D16" s="113">
        <v>47</v>
      </c>
      <c r="E16" s="114">
        <v>2</v>
      </c>
      <c r="F16" s="115" t="str">
        <f>IF(D16="","",VLOOKUP(D16,'Ranquing Inicial'!$B$6:$V$69,2,0))</f>
        <v>HENRY CASTRO TÉLLEZ</v>
      </c>
      <c r="G16" s="114">
        <f>SUM(G7,G10)</f>
        <v>41</v>
      </c>
      <c r="H16" s="114">
        <f>SUM(H7,H9)</f>
        <v>92</v>
      </c>
      <c r="I16" s="116">
        <f>IF(H16="","",G16/H16)</f>
        <v>0.44565217391304346</v>
      </c>
      <c r="J16" s="114">
        <f>MAX(J7,J10)</f>
        <v>4</v>
      </c>
      <c r="K16" s="117">
        <f>SUM(K7,K10)</f>
        <v>2</v>
      </c>
      <c r="L16" s="199" t="str">
        <f>IF(ISERROR(I16),"",N16&amp;"º")</f>
        <v>2º</v>
      </c>
      <c r="M16" s="112">
        <f>IF(ISERROR(I16),"",SUM(K16,I16/1000,J16/1000000))</f>
        <v>2.0004496521739132</v>
      </c>
      <c r="N16" s="133">
        <f>IF(ISERROR(I16),"",RANK(M16,M15:M17))</f>
        <v>2</v>
      </c>
      <c r="O16" s="137">
        <f>IF(N16=1,VLOOKUP(1,B15:K17,5,0),"")</f>
      </c>
      <c r="P16" s="138">
        <f>IF(N16=1,VLOOKUP(1,B15:K17,6,0),"")</f>
      </c>
      <c r="Q16" s="138">
        <f>IF(N16=1,VLOOKUP(1,B15:K17,7,0),"")</f>
      </c>
      <c r="R16" s="139">
        <f>IF(N16=1,VLOOKUP(1,B15:K17,8,0),"")</f>
      </c>
      <c r="S16" s="138">
        <f>IF(N16=1,VLOOKUP(1,B15:K17,9,0),"")</f>
      </c>
      <c r="T16" s="138">
        <f>IF(N16=1,VLOOKUP(1,B15:K17,10,0),"")</f>
      </c>
      <c r="V16" s="137" t="str">
        <f>IF(N16=2,VLOOKUP(2,B15:K17,5,0),"")</f>
        <v>HENRY CASTRO TÉLLEZ</v>
      </c>
      <c r="W16" s="138">
        <f>IF(N16=2,VLOOKUP(2,B15:K17,6,0),"")</f>
        <v>41</v>
      </c>
      <c r="X16" s="138">
        <f>IF(N16=2,VLOOKUP(2,B15:K17,7,0),"")</f>
        <v>92</v>
      </c>
      <c r="Y16" s="139">
        <f>IF(N16=2,VLOOKUP(2,B15:$K17,8,0),"")</f>
        <v>0.44565217391304346</v>
      </c>
      <c r="Z16" s="138">
        <f>IF(N16=2,VLOOKUP(2,B15:K17,9,0),"")</f>
        <v>4</v>
      </c>
      <c r="AA16" s="138">
        <f>IF(N16=2,VLOOKUP(2,B15:K17,10,0),"")</f>
        <v>2</v>
      </c>
      <c r="AC16" s="135">
        <f>IF(N16=3,VLOOKUP(3,B15:K17,5,0),"")</f>
      </c>
      <c r="AD16" s="138">
        <f>IF(N16=3,VLOOKUP(3,B15:K17,6,0),"")</f>
      </c>
      <c r="AE16" s="138">
        <f>IF(N16=3,VLOOKUP(3,B15:K17,7,0),"")</f>
      </c>
      <c r="AF16" s="139">
        <f>IF(N16=3,VLOOKUP(3,B15:K17,8,0),"")</f>
      </c>
      <c r="AG16" s="138">
        <f>IF(N16=3,VLOOKUP(3,B15:K17,9,0),"")</f>
      </c>
      <c r="AH16" s="138">
        <f>IF(N16=3,VLOOKUP(3,B15:K17,10,0),"")</f>
      </c>
      <c r="AL16" s="174">
        <f>$O$29</f>
      </c>
      <c r="AM16" s="175">
        <f>$P$29</f>
      </c>
      <c r="AN16" s="175">
        <f>$Q$29</f>
      </c>
      <c r="AO16" s="176">
        <f>$R$29</f>
      </c>
      <c r="AP16" s="175">
        <f>$S$29</f>
      </c>
      <c r="AQ16" s="175">
        <f>$T$29</f>
      </c>
      <c r="AU16" s="174">
        <f>$V$30</f>
      </c>
      <c r="AV16" s="175">
        <f>$W$30</f>
      </c>
      <c r="AW16" s="175">
        <f>$X$30</f>
      </c>
      <c r="AX16" s="176">
        <f>$Y$30</f>
      </c>
      <c r="AY16" s="175">
        <f>$Z$30</f>
      </c>
      <c r="AZ16" s="175">
        <f>$AA$30</f>
      </c>
      <c r="BD16" s="174">
        <f>$AC$16</f>
      </c>
      <c r="BE16" s="175">
        <f>$AD$16</f>
      </c>
      <c r="BF16" s="175">
        <f>$AE$16</f>
      </c>
      <c r="BG16" s="176">
        <f>$AF$16</f>
      </c>
      <c r="BH16" s="175">
        <f>$AG$16</f>
      </c>
      <c r="BI16" s="175">
        <f>$AH$16</f>
      </c>
    </row>
    <row r="17" spans="2:61" ht="18" thickBot="1">
      <c r="B17" s="179">
        <f>N17</f>
        <v>3</v>
      </c>
      <c r="C17" s="179" t="str">
        <f>CONCATENATE(C7,E17)</f>
        <v>B3</v>
      </c>
      <c r="D17" s="102">
        <v>63</v>
      </c>
      <c r="E17" s="106">
        <v>3</v>
      </c>
      <c r="F17" s="103" t="str">
        <f>IF(D17="","",VLOOKUP(D17,'Ranquing Inicial'!$B$6:$V$69,2,0))</f>
        <v>MARTA SERRAMITJANA JUAN</v>
      </c>
      <c r="G17" s="106">
        <f>SUM(G8,G12)</f>
        <v>35</v>
      </c>
      <c r="H17" s="106">
        <f>SUM(H7,H11)</f>
        <v>92</v>
      </c>
      <c r="I17" s="118">
        <f>IF(H17="","",G17/H17)</f>
        <v>0.3804347826086957</v>
      </c>
      <c r="J17" s="106">
        <f>MAX(J9,J12)</f>
        <v>3</v>
      </c>
      <c r="K17" s="108">
        <f>SUM(K8,K12)</f>
        <v>0</v>
      </c>
      <c r="L17" s="201" t="str">
        <f>IF(ISERROR(I17),"",N17&amp;"º")</f>
        <v>3º</v>
      </c>
      <c r="M17" s="112">
        <f>IF(ISERROR(I17),"",SUM(K17,I17/1000,J17/1000000))</f>
        <v>0.0003834347826086957</v>
      </c>
      <c r="N17" s="133">
        <f>IF(ISERROR(I17),"",RANK(M17,M15:M17))</f>
        <v>3</v>
      </c>
      <c r="O17" s="137">
        <f>IF(N17=1,VLOOKUP(1,B15:K17,5,0),"")</f>
      </c>
      <c r="P17" s="138">
        <f>IF(N17=1,VLOOKUP(1,B15:K17,6,0),"")</f>
      </c>
      <c r="Q17" s="138">
        <f>IF(N17=1,VLOOKUP(1,B15:K17,7,0),"")</f>
      </c>
      <c r="R17" s="139">
        <f>IF(N17=1,VLOOKUP(1,B15:K17,8,0),"")</f>
      </c>
      <c r="S17" s="138">
        <f>IF(N17=1,VLOOKUP(1,B15:K17,9,0),"")</f>
      </c>
      <c r="T17" s="138">
        <f>IF(N17=1,VLOOKUP(1,B15:K17,10,0),"")</f>
      </c>
      <c r="V17" s="135">
        <f>IF(N17=2,VLOOKUP(2,B15:K17,5,0),"")</f>
      </c>
      <c r="W17" s="138">
        <f>IF(N17=2,VLOOKUP(2,B15:K17,6,0),"")</f>
      </c>
      <c r="X17" s="138">
        <f>IF(N17=2,VLOOKUP(2,B15:K17,7,0),"")</f>
      </c>
      <c r="Y17" s="139">
        <f>IF(N17=2,VLOOKUP(2,B15:K17,8,0),"")</f>
      </c>
      <c r="Z17" s="138">
        <f>IF(N17=2,VLOOKUP(2,B15:K17,9,0),"")</f>
      </c>
      <c r="AA17" s="138">
        <f>IF(N17=2,VLOOKUP(2,B15:K17,10,0),"")</f>
      </c>
      <c r="AC17" s="135" t="str">
        <f>IF(N17=3,VLOOKUP(3,B15:K17,5,0),"")</f>
        <v>MARTA SERRAMITJANA JUAN</v>
      </c>
      <c r="AD17" s="138">
        <f>IF(N17=3,VLOOKUP(3,B15:K17,6,0),"")</f>
        <v>35</v>
      </c>
      <c r="AE17" s="138">
        <f>IF(N17=3,VLOOKUP(3,B15:K17,7,0),"")</f>
        <v>92</v>
      </c>
      <c r="AF17" s="139">
        <f>IF(N17=3,VLOOKUP(3,B15:K17,8,0),"")</f>
        <v>0.3804347826086957</v>
      </c>
      <c r="AG17" s="138">
        <f>IF(N17=3,VLOOKUP(3,B15:K17,9,0),"")</f>
        <v>3</v>
      </c>
      <c r="AH17" s="138">
        <f>IF(N17=3,VLOOKUP(3,B15:K17,10,0),"")</f>
        <v>0</v>
      </c>
      <c r="AL17" s="174">
        <f>$O$31</f>
      </c>
      <c r="AM17" s="175">
        <f>$P$31</f>
      </c>
      <c r="AN17" s="175">
        <f>$Q$31</f>
      </c>
      <c r="AO17" s="176">
        <f>$R$31</f>
      </c>
      <c r="AP17" s="175">
        <f>$S$31</f>
      </c>
      <c r="AQ17" s="175">
        <f>$T$31</f>
      </c>
      <c r="AU17" s="174">
        <f>$V$45</f>
      </c>
      <c r="AV17" s="175">
        <f>$W$45</f>
      </c>
      <c r="AW17" s="175">
        <f>$X$45</f>
      </c>
      <c r="AX17" s="176">
        <f>$Y$45</f>
      </c>
      <c r="AY17" s="175">
        <f>$Z$45</f>
      </c>
      <c r="AZ17" s="175">
        <f>$AA$45</f>
      </c>
      <c r="BD17" s="174">
        <f>$AC$30</f>
      </c>
      <c r="BE17" s="175">
        <f>$AD$30</f>
      </c>
      <c r="BF17" s="175">
        <f>$AE$30</f>
      </c>
      <c r="BG17" s="176">
        <f>$AF$30</f>
      </c>
      <c r="BH17" s="175">
        <f>$AG$30</f>
      </c>
      <c r="BI17" s="175">
        <f>$AH$30</f>
      </c>
    </row>
    <row r="18" spans="2:63" s="90" customFormat="1" ht="12.75" thickTop="1">
      <c r="B18" s="179"/>
      <c r="I18" s="180">
        <f>MAX(I15:I17)</f>
        <v>0.7142857142857143</v>
      </c>
      <c r="J18" s="179"/>
      <c r="K18" s="179">
        <f>SUM(K15:K17)</f>
        <v>6</v>
      </c>
      <c r="L18" s="179" t="e">
        <f>MODE(K15:K17)</f>
        <v>#N/A</v>
      </c>
      <c r="M18" s="109"/>
      <c r="N18" s="133"/>
      <c r="O18" s="135"/>
      <c r="P18" s="133"/>
      <c r="Q18" s="133"/>
      <c r="R18" s="133"/>
      <c r="S18" s="133"/>
      <c r="T18" s="133"/>
      <c r="U18" s="136"/>
      <c r="V18" s="135"/>
      <c r="W18" s="133"/>
      <c r="X18" s="133"/>
      <c r="Y18" s="133"/>
      <c r="Z18" s="133"/>
      <c r="AA18" s="133"/>
      <c r="AB18" s="136"/>
      <c r="AC18" s="135"/>
      <c r="AD18" s="133"/>
      <c r="AE18" s="133"/>
      <c r="AF18" s="133"/>
      <c r="AG18" s="133"/>
      <c r="AH18" s="133"/>
      <c r="AI18" s="132"/>
      <c r="AJ18" s="143"/>
      <c r="AK18" s="141"/>
      <c r="AL18" s="174">
        <f>$O$45</f>
      </c>
      <c r="AM18" s="175">
        <f>$P$45</f>
      </c>
      <c r="AN18" s="175">
        <f>$Q$45</f>
      </c>
      <c r="AO18" s="176">
        <f>$R$45</f>
      </c>
      <c r="AP18" s="175">
        <f>$S$45</f>
      </c>
      <c r="AQ18" s="175">
        <f>$T$45</f>
      </c>
      <c r="AR18" s="132"/>
      <c r="AS18" s="143"/>
      <c r="AT18" s="141"/>
      <c r="AU18" s="174">
        <f>$V$57</f>
      </c>
      <c r="AV18" s="175">
        <f>$W$57</f>
      </c>
      <c r="AW18" s="175">
        <f>$X$57</f>
      </c>
      <c r="AX18" s="176">
        <f>$Y$57</f>
      </c>
      <c r="AY18" s="175">
        <f>$Z$57</f>
      </c>
      <c r="AZ18" s="175">
        <f>$AA$57</f>
      </c>
      <c r="BA18" s="136"/>
      <c r="BB18" s="143"/>
      <c r="BC18" s="141"/>
      <c r="BD18" s="174">
        <f>$AC$43</f>
      </c>
      <c r="BE18" s="175">
        <f>$AD$43</f>
      </c>
      <c r="BF18" s="175">
        <f>$AE$43</f>
      </c>
      <c r="BG18" s="176">
        <f>$AF$43</f>
      </c>
      <c r="BH18" s="175">
        <f>$AG$43</f>
      </c>
      <c r="BI18" s="175">
        <f>$AH$43</f>
      </c>
      <c r="BJ18" s="136"/>
      <c r="BK18" s="89"/>
    </row>
    <row r="19" spans="38:61" ht="12">
      <c r="AL19" s="174">
        <f>$O$58</f>
      </c>
      <c r="AM19" s="175">
        <f>$P$58</f>
      </c>
      <c r="AN19" s="175">
        <f>$Q$58</f>
      </c>
      <c r="AO19" s="176">
        <f>$R$58</f>
      </c>
      <c r="AP19" s="175">
        <f>$S$58</f>
      </c>
      <c r="AQ19" s="175">
        <f>$T$58</f>
      </c>
      <c r="AU19" s="174">
        <f>$V$73</f>
      </c>
      <c r="AV19" s="175">
        <f>$W$73</f>
      </c>
      <c r="AW19" s="175">
        <f>$X$73</f>
      </c>
      <c r="AX19" s="176">
        <f>$Y$73</f>
      </c>
      <c r="AY19" s="175">
        <f>$Z$73</f>
      </c>
      <c r="AZ19" s="175">
        <f>$AA$73</f>
      </c>
      <c r="BD19" s="174">
        <f>$AC$44</f>
      </c>
      <c r="BE19" s="175">
        <f>$AD$44</f>
      </c>
      <c r="BF19" s="175">
        <f>$AE$44</f>
      </c>
      <c r="BG19" s="176">
        <f>$AF$44</f>
      </c>
      <c r="BH19" s="175">
        <f>$AG$44</f>
      </c>
      <c r="BI19" s="175">
        <f>$AH$44</f>
      </c>
    </row>
    <row r="20" spans="6:61" ht="12.75" thickBot="1">
      <c r="F20" s="89" t="s">
        <v>262</v>
      </c>
      <c r="G20" s="89" t="s">
        <v>263</v>
      </c>
      <c r="H20" s="89" t="s">
        <v>264</v>
      </c>
      <c r="I20" s="89" t="s">
        <v>309</v>
      </c>
      <c r="J20" s="89" t="s">
        <v>266</v>
      </c>
      <c r="K20" s="89" t="s">
        <v>301</v>
      </c>
      <c r="AL20" s="174">
        <f>$O$59</f>
      </c>
      <c r="AM20" s="175">
        <f>$P$59</f>
      </c>
      <c r="AN20" s="175">
        <f>$Q$59</f>
      </c>
      <c r="AO20" s="176">
        <f>$R$59</f>
      </c>
      <c r="AP20" s="175">
        <f>$S$59</f>
      </c>
      <c r="AQ20" s="175">
        <f>$T$59</f>
      </c>
      <c r="AU20" s="174">
        <f>$V$85</f>
      </c>
      <c r="AV20" s="175">
        <f>$W$85</f>
      </c>
      <c r="AW20" s="175">
        <f>$X$85</f>
      </c>
      <c r="AX20" s="176">
        <f>$Y$85</f>
      </c>
      <c r="AY20" s="175">
        <f>$Z$85</f>
      </c>
      <c r="AZ20" s="175">
        <f>$AA$85</f>
      </c>
      <c r="BD20" s="174">
        <f>$AC$57</f>
      </c>
      <c r="BE20" s="175">
        <f>$AD$57</f>
      </c>
      <c r="BF20" s="175">
        <f>$AE$57</f>
      </c>
      <c r="BG20" s="176">
        <f>$AF$57</f>
      </c>
      <c r="BH20" s="175">
        <f>$AG$57</f>
      </c>
      <c r="BI20" s="175">
        <f>$AH$57</f>
      </c>
    </row>
    <row r="21" spans="3:61" ht="15.75" customHeight="1" thickTop="1">
      <c r="C21" s="646" t="str">
        <f>'Fase Grups'!H5</f>
        <v>D</v>
      </c>
      <c r="D21" s="123">
        <f>'Fase Grups'!$N$13</f>
        <v>0.3958333333333333</v>
      </c>
      <c r="E21" s="91" t="str">
        <f>C30</f>
        <v>D2</v>
      </c>
      <c r="F21" s="92" t="str">
        <f aca="true" t="shared" si="1" ref="F21:F26">VLOOKUP(E21,$C$29:$F$31,4,1)</f>
        <v>DAVID BOSQUED TORÉ</v>
      </c>
      <c r="G21" s="93">
        <v>25</v>
      </c>
      <c r="H21" s="639">
        <v>50</v>
      </c>
      <c r="I21" s="94">
        <f>IF(H21="","",G21/H21)</f>
        <v>0.5</v>
      </c>
      <c r="J21" s="93">
        <v>5</v>
      </c>
      <c r="K21" s="95">
        <f>IF(H21="","",IF(G21&lt;G22,0,IF(G21&gt;G22,2,1)))</f>
        <v>2</v>
      </c>
      <c r="L21" s="96"/>
      <c r="AL21" s="174">
        <f>$O$73</f>
      </c>
      <c r="AM21" s="175">
        <f>$P$73</f>
      </c>
      <c r="AN21" s="175">
        <f>$Q$73</f>
      </c>
      <c r="AO21" s="176">
        <f>$R$73</f>
      </c>
      <c r="AP21" s="175">
        <f>$S$73</f>
      </c>
      <c r="AQ21" s="175">
        <f>$T$73</f>
      </c>
      <c r="AU21" s="174">
        <f>$V$86</f>
      </c>
      <c r="AV21" s="175">
        <f>$W$86</f>
      </c>
      <c r="AW21" s="175">
        <f>$X$86</f>
      </c>
      <c r="AX21" s="176">
        <f>$Y$86</f>
      </c>
      <c r="AY21" s="175">
        <f>$Z$86</f>
      </c>
      <c r="AZ21" s="175">
        <f>$AA$86</f>
      </c>
      <c r="BD21" s="174">
        <f>$AC$71</f>
      </c>
      <c r="BE21" s="175">
        <f>$AD$71</f>
      </c>
      <c r="BF21" s="175">
        <f>$AE$71</f>
      </c>
      <c r="BG21" s="176">
        <f>$AF$71</f>
      </c>
      <c r="BH21" s="175">
        <f>$AG$71</f>
      </c>
      <c r="BI21" s="175">
        <f>$AH$71</f>
      </c>
    </row>
    <row r="22" spans="3:61" ht="15.75" customHeight="1" thickBot="1">
      <c r="C22" s="647"/>
      <c r="D22" s="124" t="str">
        <f>CONCATENATE("Mesa ",'Fase Grups'!$R$12)</f>
        <v>Mesa 2</v>
      </c>
      <c r="E22" s="97" t="str">
        <f>C31</f>
        <v>D3</v>
      </c>
      <c r="F22" s="98" t="str">
        <f t="shared" si="1"/>
        <v>ESTEBAN LEÓN PUIG</v>
      </c>
      <c r="G22" s="99">
        <v>22</v>
      </c>
      <c r="H22" s="640"/>
      <c r="I22" s="100">
        <f>IF(H21="","",G22/H21)</f>
        <v>0.44</v>
      </c>
      <c r="J22" s="99">
        <v>6</v>
      </c>
      <c r="K22" s="101">
        <f>IF(H21="","",IF(G22&lt;G21,0,IF(G22&gt;G21,2,1)))</f>
        <v>0</v>
      </c>
      <c r="L22" s="96"/>
      <c r="AL22" s="174">
        <f>$O$87</f>
      </c>
      <c r="AM22" s="175">
        <f>$P$87</f>
      </c>
      <c r="AN22" s="175">
        <f>$Q$87</f>
      </c>
      <c r="AO22" s="176">
        <f>$R$87</f>
      </c>
      <c r="AP22" s="175">
        <f>$S$87</f>
      </c>
      <c r="AQ22" s="175">
        <f>$T$87</f>
      </c>
      <c r="AU22" s="174">
        <f>$V$100</f>
      </c>
      <c r="AV22" s="175">
        <f>$W$100</f>
      </c>
      <c r="AW22" s="175">
        <f>$X$100</f>
      </c>
      <c r="AX22" s="176">
        <f>$Y$100</f>
      </c>
      <c r="AY22" s="175">
        <f>$Z$100</f>
      </c>
      <c r="AZ22" s="175">
        <f>$AA$100</f>
      </c>
      <c r="BD22" s="174">
        <f>$AC$72</f>
      </c>
      <c r="BE22" s="175">
        <f>$AD$72</f>
      </c>
      <c r="BF22" s="175">
        <f>$AE$72</f>
      </c>
      <c r="BG22" s="176">
        <f>$AF$72</f>
      </c>
      <c r="BH22" s="175">
        <f>$AG$72</f>
      </c>
      <c r="BI22" s="175">
        <f>$AH$72</f>
      </c>
    </row>
    <row r="23" spans="3:61" ht="15.75" customHeight="1" thickTop="1">
      <c r="C23" s="647"/>
      <c r="D23" s="123">
        <v>0.7291666666666666</v>
      </c>
      <c r="E23" s="91" t="str">
        <f>C29</f>
        <v>D1</v>
      </c>
      <c r="F23" s="92" t="str">
        <f t="shared" si="1"/>
        <v>FRANCISCO MULA CALLEJÓN</v>
      </c>
      <c r="G23" s="93">
        <v>28</v>
      </c>
      <c r="H23" s="639">
        <v>50</v>
      </c>
      <c r="I23" s="94">
        <f>IF(H23="","",G23/H23)</f>
        <v>0.56</v>
      </c>
      <c r="J23" s="93">
        <v>6</v>
      </c>
      <c r="K23" s="95">
        <f>IF(H23="","",IF(G23&lt;G24,0,IF(G23&gt;G24,2,1)))</f>
        <v>0</v>
      </c>
      <c r="L23" s="96"/>
      <c r="AL23" s="174">
        <f>$O$99</f>
      </c>
      <c r="AM23" s="175">
        <f>$P$99</f>
      </c>
      <c r="AN23" s="175">
        <f>$Q$99</f>
      </c>
      <c r="AO23" s="176">
        <f>$R$99</f>
      </c>
      <c r="AP23" s="175">
        <f>$S$99</f>
      </c>
      <c r="AQ23" s="175">
        <f>$T$99</f>
      </c>
      <c r="AU23" s="174">
        <f>$V$101</f>
      </c>
      <c r="AV23" s="175">
        <f>$W$101</f>
      </c>
      <c r="AW23" s="175">
        <f>$X$101</f>
      </c>
      <c r="AX23" s="176">
        <f>$Y$101</f>
      </c>
      <c r="AY23" s="175">
        <f>$Z$101</f>
      </c>
      <c r="AZ23" s="175">
        <f>$AA$101</f>
      </c>
      <c r="BD23" s="174">
        <f>$AC$87</f>
      </c>
      <c r="BE23" s="175">
        <f>$AD$87</f>
      </c>
      <c r="BF23" s="175">
        <f>$AE$87</f>
      </c>
      <c r="BG23" s="176">
        <f>$AF$87</f>
      </c>
      <c r="BH23" s="175">
        <f>$AG$87</f>
      </c>
      <c r="BI23" s="175">
        <f>$AH$87</f>
      </c>
    </row>
    <row r="24" spans="3:61" ht="15.75" customHeight="1" thickBot="1">
      <c r="C24" s="647"/>
      <c r="D24" s="197" t="s">
        <v>306</v>
      </c>
      <c r="E24" s="102" t="str">
        <f>C30</f>
        <v>D2</v>
      </c>
      <c r="F24" s="103" t="str">
        <f t="shared" si="1"/>
        <v>DAVID BOSQUED TORÉ</v>
      </c>
      <c r="G24" s="99">
        <v>30</v>
      </c>
      <c r="H24" s="640"/>
      <c r="I24" s="100">
        <f>IF(H23="","",G24/H23)</f>
        <v>0.6</v>
      </c>
      <c r="J24" s="99">
        <v>5</v>
      </c>
      <c r="K24" s="101">
        <f>IF(H23="","",IF(G24&lt;G23,0,IF(G24&gt;G23,2,1)))</f>
        <v>2</v>
      </c>
      <c r="L24" s="96"/>
      <c r="AL24" s="174">
        <f>$O$114</f>
      </c>
      <c r="AM24" s="175">
        <f>$P$114</f>
      </c>
      <c r="AN24" s="175">
        <f>$Q$114</f>
      </c>
      <c r="AO24" s="176">
        <f>$R$114</f>
      </c>
      <c r="AP24" s="175">
        <f>$S$114</f>
      </c>
      <c r="AQ24" s="175">
        <f>$T$114</f>
      </c>
      <c r="AU24" s="174">
        <f>$V$115</f>
      </c>
      <c r="AV24" s="175">
        <f>$W$115</f>
      </c>
      <c r="AW24" s="175">
        <f>$X$115</f>
      </c>
      <c r="AX24" s="176">
        <f>$Y$115</f>
      </c>
      <c r="AY24" s="175">
        <f>$Z$115</f>
      </c>
      <c r="AZ24" s="175">
        <f>$AA$115</f>
      </c>
      <c r="BD24" s="174">
        <f>$AC$99</f>
      </c>
      <c r="BE24" s="175">
        <f>$AD$99</f>
      </c>
      <c r="BF24" s="175">
        <f>$AE$99</f>
      </c>
      <c r="BG24" s="176">
        <f>$AF$99</f>
      </c>
      <c r="BH24" s="175">
        <f>$AG$99</f>
      </c>
      <c r="BI24" s="175">
        <f>$AH$99</f>
      </c>
    </row>
    <row r="25" spans="3:61" ht="15.75" customHeight="1" thickTop="1">
      <c r="C25" s="647"/>
      <c r="D25" s="196">
        <v>0.5208333333333334</v>
      </c>
      <c r="E25" s="104" t="str">
        <f>C29</f>
        <v>D1</v>
      </c>
      <c r="F25" s="105" t="str">
        <f t="shared" si="1"/>
        <v>FRANCISCO MULA CALLEJÓN</v>
      </c>
      <c r="G25" s="93">
        <v>30</v>
      </c>
      <c r="H25" s="639">
        <v>37</v>
      </c>
      <c r="I25" s="94">
        <f>IF(H25="","",G25/H25)</f>
        <v>0.8108108108108109</v>
      </c>
      <c r="J25" s="93">
        <v>4</v>
      </c>
      <c r="K25" s="95">
        <f>IF(H25="","",IF(G25&lt;G26,0,IF(G25&gt;G26,2,1)))</f>
        <v>2</v>
      </c>
      <c r="L25" s="96"/>
      <c r="AL25" s="174">
        <f>$O$44</f>
      </c>
      <c r="AM25" s="175">
        <f>$P$44</f>
      </c>
      <c r="AN25" s="175">
        <f>$Q$44</f>
      </c>
      <c r="AO25" s="176">
        <f>$R$44</f>
      </c>
      <c r="AP25" s="175">
        <f>$S$44</f>
      </c>
      <c r="AQ25" s="175">
        <f>$T$44</f>
      </c>
      <c r="AU25" s="174">
        <f>$V$15</f>
      </c>
      <c r="AV25" s="175">
        <f>$W$15</f>
      </c>
      <c r="AW25" s="175">
        <f>$X$15</f>
      </c>
      <c r="AX25" s="176">
        <f>$Y$15</f>
      </c>
      <c r="AY25" s="175">
        <f>$Z$15</f>
      </c>
      <c r="AZ25" s="175">
        <f>$AA$15</f>
      </c>
      <c r="BD25" s="174">
        <f>$AC$100</f>
      </c>
      <c r="BE25" s="175">
        <f>$AD$100</f>
      </c>
      <c r="BF25" s="175">
        <f>$AE$100</f>
      </c>
      <c r="BG25" s="176">
        <f>$AF$100</f>
      </c>
      <c r="BH25" s="175">
        <f>$AG$100</f>
      </c>
      <c r="BI25" s="175">
        <f>$AH$100</f>
      </c>
    </row>
    <row r="26" spans="3:61" ht="15.75" customHeight="1" thickBot="1">
      <c r="C26" s="648"/>
      <c r="D26" s="197" t="s">
        <v>306</v>
      </c>
      <c r="E26" s="102" t="str">
        <f>C31</f>
        <v>D3</v>
      </c>
      <c r="F26" s="103" t="str">
        <f t="shared" si="1"/>
        <v>ESTEBAN LEÓN PUIG</v>
      </c>
      <c r="G26" s="106">
        <v>22</v>
      </c>
      <c r="H26" s="640"/>
      <c r="I26" s="107">
        <f>IF(H25="","",G26/H25)</f>
        <v>0.5945945945945946</v>
      </c>
      <c r="J26" s="106">
        <v>5</v>
      </c>
      <c r="K26" s="108">
        <f>IF(H25="","",IF(G26&lt;G25,0,IF(G26&gt;G25,2,1)))</f>
        <v>0</v>
      </c>
      <c r="L26" s="96"/>
      <c r="AL26" s="174">
        <f>$O$16</f>
      </c>
      <c r="AM26" s="175">
        <f>$P$16</f>
      </c>
      <c r="AN26" s="175">
        <f>$Q$16</f>
      </c>
      <c r="AO26" s="176">
        <f>$R$16</f>
      </c>
      <c r="AP26" s="175">
        <f>$S$16</f>
      </c>
      <c r="AQ26" s="175">
        <f>$T$16</f>
      </c>
      <c r="AU26" s="174">
        <f>$V$71</f>
      </c>
      <c r="AV26" s="175">
        <f>$W$71</f>
      </c>
      <c r="AW26" s="175">
        <f>$X$71</f>
      </c>
      <c r="AX26" s="176">
        <f>$Y$71</f>
      </c>
      <c r="AY26" s="175">
        <f>$Z$71</f>
      </c>
      <c r="AZ26" s="175">
        <f>$AA$71</f>
      </c>
      <c r="BD26" s="174">
        <f>$AC$113</f>
      </c>
      <c r="BE26" s="175">
        <f>$AD$113</f>
      </c>
      <c r="BF26" s="175">
        <f>$AE$113</f>
      </c>
      <c r="BG26" s="176">
        <f>$AF$113</f>
      </c>
      <c r="BH26" s="175">
        <f>$AG$113</f>
      </c>
      <c r="BI26" s="175">
        <f>$AH$113</f>
      </c>
    </row>
    <row r="27" spans="2:63" s="90" customFormat="1" ht="12">
      <c r="B27" s="179"/>
      <c r="G27" s="179">
        <f>SUM(G21:G26)</f>
        <v>157</v>
      </c>
      <c r="M27" s="109"/>
      <c r="N27" s="133"/>
      <c r="O27" s="135"/>
      <c r="P27" s="133"/>
      <c r="Q27" s="133"/>
      <c r="R27" s="133"/>
      <c r="S27" s="133"/>
      <c r="T27" s="133"/>
      <c r="U27" s="136"/>
      <c r="V27" s="135"/>
      <c r="W27" s="133"/>
      <c r="X27" s="133"/>
      <c r="Y27" s="133"/>
      <c r="Z27" s="133"/>
      <c r="AA27" s="133"/>
      <c r="AB27" s="136"/>
      <c r="AC27" s="135"/>
      <c r="AD27" s="133"/>
      <c r="AE27" s="133"/>
      <c r="AF27" s="133"/>
      <c r="AG27" s="133"/>
      <c r="AH27" s="133"/>
      <c r="AI27" s="132"/>
      <c r="AJ27" s="143"/>
      <c r="AK27" s="141"/>
      <c r="AL27" s="174">
        <f>$O$72</f>
      </c>
      <c r="AM27" s="175">
        <f>$P$72</f>
      </c>
      <c r="AN27" s="175">
        <f>$Q$72</f>
      </c>
      <c r="AO27" s="176">
        <f>$R$72</f>
      </c>
      <c r="AP27" s="175">
        <f>$S$72</f>
      </c>
      <c r="AQ27" s="175">
        <f>$T$72</f>
      </c>
      <c r="AR27" s="132"/>
      <c r="AS27" s="143"/>
      <c r="AT27" s="141"/>
      <c r="AU27" s="174">
        <f>$V$43</f>
      </c>
      <c r="AV27" s="175">
        <f>$W$43</f>
      </c>
      <c r="AW27" s="175">
        <f>$X$43</f>
      </c>
      <c r="AX27" s="176">
        <f>$Y$43</f>
      </c>
      <c r="AY27" s="175">
        <f>$Z$43</f>
      </c>
      <c r="AZ27" s="175">
        <f>$AA$43</f>
      </c>
      <c r="BA27" s="136"/>
      <c r="BB27" s="143"/>
      <c r="BC27" s="141"/>
      <c r="BD27" s="174">
        <f>$AC$29</f>
      </c>
      <c r="BE27" s="175">
        <f>$AD$29</f>
      </c>
      <c r="BF27" s="175">
        <f>$AE$29</f>
      </c>
      <c r="BG27" s="176">
        <f>$AF$29</f>
      </c>
      <c r="BH27" s="175">
        <f>$AG$29</f>
      </c>
      <c r="BI27" s="175">
        <f>$AH$29</f>
      </c>
      <c r="BJ27" s="136"/>
      <c r="BK27" s="89"/>
    </row>
    <row r="28" spans="2:61" ht="12.75" thickBot="1">
      <c r="B28" s="179" t="s">
        <v>271</v>
      </c>
      <c r="D28" s="119" t="s">
        <v>268</v>
      </c>
      <c r="E28" s="173" t="str">
        <f>C21</f>
        <v>D</v>
      </c>
      <c r="F28" s="89" t="s">
        <v>262</v>
      </c>
      <c r="G28" s="89" t="s">
        <v>263</v>
      </c>
      <c r="H28" s="89" t="s">
        <v>264</v>
      </c>
      <c r="I28" s="89" t="s">
        <v>309</v>
      </c>
      <c r="J28" s="89" t="s">
        <v>266</v>
      </c>
      <c r="K28" s="89" t="s">
        <v>301</v>
      </c>
      <c r="L28" s="89" t="s">
        <v>269</v>
      </c>
      <c r="M28" s="109" t="s">
        <v>272</v>
      </c>
      <c r="N28" s="133" t="s">
        <v>270</v>
      </c>
      <c r="AL28" s="174">
        <f>$O$113</f>
      </c>
      <c r="AM28" s="175">
        <f>$P$113</f>
      </c>
      <c r="AN28" s="175">
        <f>$Q$113</f>
      </c>
      <c r="AO28" s="176">
        <f>$R$113</f>
      </c>
      <c r="AP28" s="175">
        <f>$S$113</f>
      </c>
      <c r="AQ28" s="175">
        <f>$T$113</f>
      </c>
      <c r="AU28" s="174">
        <f>$V$31</f>
      </c>
      <c r="AV28" s="175">
        <f>$W$31</f>
      </c>
      <c r="AW28" s="175">
        <f>$X$31</f>
      </c>
      <c r="AX28" s="176">
        <f>$Y$31</f>
      </c>
      <c r="AY28" s="175">
        <f>$Z$31</f>
      </c>
      <c r="AZ28" s="175">
        <f>$AA$31</f>
      </c>
      <c r="BD28" s="174">
        <f>$AC$85</f>
      </c>
      <c r="BE28" s="175">
        <f>$AD$85</f>
      </c>
      <c r="BF28" s="175">
        <f>$AE$85</f>
      </c>
      <c r="BG28" s="176">
        <f>$AF$85</f>
      </c>
      <c r="BH28" s="175">
        <f>$AG$85</f>
      </c>
      <c r="BI28" s="175">
        <f>$AH$85</f>
      </c>
    </row>
    <row r="29" spans="2:61" ht="18" thickTop="1">
      <c r="B29" s="179">
        <f>N29</f>
        <v>2</v>
      </c>
      <c r="C29" s="179" t="str">
        <f>CONCATENATE(C21,E29)</f>
        <v>D1</v>
      </c>
      <c r="D29" s="91">
        <v>20</v>
      </c>
      <c r="E29" s="93">
        <v>1</v>
      </c>
      <c r="F29" s="92" t="str">
        <f>IF(D29="","",VLOOKUP(D29,'Ranquing Inicial'!$B$6:$V$69,2,0))</f>
        <v>FRANCISCO MULA CALLEJÓN</v>
      </c>
      <c r="G29" s="93">
        <f>SUM(G23,G25)</f>
        <v>58</v>
      </c>
      <c r="H29" s="93">
        <f>SUM(H23,H25)</f>
        <v>87</v>
      </c>
      <c r="I29" s="111">
        <f>IF(H29="","",G29/H29)</f>
        <v>0.6666666666666666</v>
      </c>
      <c r="J29" s="93">
        <f>MAX(J23,J25)</f>
        <v>6</v>
      </c>
      <c r="K29" s="95">
        <f>SUM(K23,K25)</f>
        <v>2</v>
      </c>
      <c r="L29" s="200" t="str">
        <f>IF(ISERROR(I29),"",N29&amp;"º")</f>
        <v>2º</v>
      </c>
      <c r="M29" s="112">
        <f>IF(ISERROR(I29),"",SUM(K29,I29/1000,J29/1000000))</f>
        <v>2.0006726666666665</v>
      </c>
      <c r="N29" s="133">
        <f>IF(ISERROR(I29),"",RANK(M29,M29:M31))</f>
        <v>2</v>
      </c>
      <c r="O29" s="137">
        <f>IF(N29=1,VLOOKUP(1,B29:K31,5,0),"")</f>
      </c>
      <c r="P29" s="138">
        <f>IF(N29=1,VLOOKUP(1,B29:K31,6,0),"")</f>
      </c>
      <c r="Q29" s="138">
        <f>IF(N29=1,VLOOKUP(1,B29:K31,7,0),"")</f>
      </c>
      <c r="R29" s="139">
        <f>IF(N29=1,VLOOKUP(1,B29:K31,8,0),"")</f>
      </c>
      <c r="S29" s="138">
        <f>IF(N29=1,VLOOKUP(1,B29:K31,9,0),"")</f>
      </c>
      <c r="T29" s="138">
        <f>IF(N29=1,VLOOKUP(1,B29:K31,10,0),"")</f>
      </c>
      <c r="V29" s="137" t="str">
        <f>IF(N29=2,VLOOKUP(2,B29:K31,5,0),"")</f>
        <v>FRANCISCO MULA CALLEJÓN</v>
      </c>
      <c r="W29" s="138">
        <f>IF(N29=2,VLOOKUP(2,B29:K31,6,0),"")</f>
        <v>58</v>
      </c>
      <c r="X29" s="138">
        <f>IF(N29=2,VLOOKUP(2,B29:K31,7,0),"")</f>
        <v>87</v>
      </c>
      <c r="Y29" s="139">
        <f>IF(N29=2,VLOOKUP(2,B29:K31,8,0),"")</f>
        <v>0.6666666666666666</v>
      </c>
      <c r="Z29" s="138">
        <f>IF(N29=2,VLOOKUP(2,B29:K31,9,0),"")</f>
        <v>6</v>
      </c>
      <c r="AA29" s="138">
        <f>IF(N29=2,VLOOKUP(2,$B$15:$K$17,10,0),"")</f>
        <v>2</v>
      </c>
      <c r="AC29" s="135">
        <f>IF(N29=3,VLOOKUP(3,B29:K31,5,0),"")</f>
      </c>
      <c r="AD29" s="138">
        <f>IF(N29=3,VLOOKUP(3,B29:K31,6,0),"")</f>
      </c>
      <c r="AE29" s="138">
        <f>IF(N29=3,VLOOKUP(3,B29:K31,7,0),"")</f>
      </c>
      <c r="AF29" s="139">
        <f>IF(N29=3,VLOOKUP(3,B29:K31,8,0),"")</f>
      </c>
      <c r="AG29" s="138">
        <f>IF(N29=3,VLOOKUP(3,B29:K31,9,0),"")</f>
      </c>
      <c r="AH29" s="138">
        <f>IF(N29=3,VLOOKUP(3,B29:K31,10,0),"")</f>
      </c>
      <c r="AL29" s="174">
        <f>$O$86</f>
      </c>
      <c r="AM29" s="175">
        <f>$P$86</f>
      </c>
      <c r="AN29" s="175">
        <f>$Q$86</f>
      </c>
      <c r="AO29" s="176">
        <f>$R$86</f>
      </c>
      <c r="AP29" s="175">
        <f>$S$86</f>
      </c>
      <c r="AQ29" s="175">
        <f>$T$86</f>
      </c>
      <c r="AU29" s="174">
        <f>$V$58</f>
      </c>
      <c r="AV29" s="175">
        <f>$W$58</f>
      </c>
      <c r="AW29" s="175">
        <f>$X$58</f>
      </c>
      <c r="AX29" s="176">
        <f>$Y$58</f>
      </c>
      <c r="AY29" s="175">
        <f>$Z$58</f>
      </c>
      <c r="AZ29" s="175">
        <f>$AA$58</f>
      </c>
      <c r="BD29" s="174">
        <f>$AC$59</f>
      </c>
      <c r="BE29" s="175">
        <f>$AD$59</f>
      </c>
      <c r="BF29" s="175">
        <f>$AE$59</f>
      </c>
      <c r="BG29" s="176">
        <f>$AF$59</f>
      </c>
      <c r="BH29" s="175">
        <f>$AG$59</f>
      </c>
      <c r="BI29" s="175">
        <f>$AH$59</f>
      </c>
    </row>
    <row r="30" spans="2:61" ht="16.5">
      <c r="B30" s="179">
        <f>N30</f>
        <v>1</v>
      </c>
      <c r="C30" s="179" t="str">
        <f>CONCATENATE(C21,E30)</f>
        <v>D2</v>
      </c>
      <c r="D30" s="113">
        <v>45</v>
      </c>
      <c r="E30" s="114">
        <v>2</v>
      </c>
      <c r="F30" s="115" t="str">
        <f>IF(D30="","",VLOOKUP(D30,'Ranquing Inicial'!$B$6:$V$69,2,0))</f>
        <v>DAVID BOSQUED TORÉ</v>
      </c>
      <c r="G30" s="114">
        <f>SUM(G21,G24)</f>
        <v>55</v>
      </c>
      <c r="H30" s="114">
        <f>SUM(H21,H23)</f>
        <v>100</v>
      </c>
      <c r="I30" s="116">
        <f>IF(H30="","",G30/H30)</f>
        <v>0.55</v>
      </c>
      <c r="J30" s="114">
        <f>MAX(J21,J24)</f>
        <v>5</v>
      </c>
      <c r="K30" s="117">
        <f>SUM(K21,K24)</f>
        <v>4</v>
      </c>
      <c r="L30" s="199" t="str">
        <f>IF(ISERROR(I30),"",N30&amp;"º")</f>
        <v>1º</v>
      </c>
      <c r="M30" s="112">
        <f>IF(ISERROR(I30),"",SUM(K30,I30/1000,J30/1000000))</f>
        <v>4.000554999999999</v>
      </c>
      <c r="N30" s="133">
        <f>IF(ISERROR(I30),"",RANK(M30,M29:M31))</f>
        <v>1</v>
      </c>
      <c r="O30" s="137" t="str">
        <f>IF(N30=1,VLOOKUP(1,B29:K31,5,0),"")</f>
        <v>DAVID BOSQUED TORÉ</v>
      </c>
      <c r="P30" s="138">
        <f>IF(N30=1,VLOOKUP(1,B29:K31,6,0),"")</f>
        <v>55</v>
      </c>
      <c r="Q30" s="138">
        <f>IF(N30=1,VLOOKUP(1,B29:K31,7,0),"")</f>
        <v>100</v>
      </c>
      <c r="R30" s="139">
        <f>IF(N30=1,VLOOKUP(1,B29:K31,8,0),"")</f>
        <v>0.55</v>
      </c>
      <c r="S30" s="138">
        <f>IF(N30=1,VLOOKUP(1,B29:K31,9,0),"")</f>
        <v>5</v>
      </c>
      <c r="T30" s="138">
        <f>IF(N30=1,VLOOKUP(1,B29:K31,10,0),"")</f>
        <v>4</v>
      </c>
      <c r="V30" s="137">
        <f>IF(N30=2,VLOOKUP(2,B29:K31,5,0),"")</f>
      </c>
      <c r="W30" s="138">
        <f>IF(N30=2,VLOOKUP(2,B29:K31,6,0),"")</f>
      </c>
      <c r="X30" s="138">
        <f>IF(N30=2,VLOOKUP(2,B29:K31,7,0),"")</f>
      </c>
      <c r="Y30" s="139">
        <f>IF(N30=2,VLOOKUP(2,B29:$K31,8,0),"")</f>
      </c>
      <c r="Z30" s="138">
        <f>IF(N30=2,VLOOKUP(2,B29:K31,9,0),"")</f>
      </c>
      <c r="AA30" s="138">
        <f>IF(N30=2,VLOOKUP(2,B29:K31,10,0),"")</f>
      </c>
      <c r="AC30" s="135">
        <f>IF(N30=3,VLOOKUP(3,B29:K31,5,0),"")</f>
      </c>
      <c r="AD30" s="138">
        <f>IF(N30=3,VLOOKUP(3,B29:K31,6,0),"")</f>
      </c>
      <c r="AE30" s="138">
        <f>IF(N30=3,VLOOKUP(3,B29:K31,7,0),"")</f>
      </c>
      <c r="AF30" s="139">
        <f>IF(N30=3,VLOOKUP(3,B29:K31,8,0),"")</f>
      </c>
      <c r="AG30" s="138">
        <f>IF(N30=3,VLOOKUP(3,B29:K31,9,0),"")</f>
      </c>
      <c r="AH30" s="138">
        <f>IF(N30=3,VLOOKUP(3,B29:K31,10,0),"")</f>
      </c>
      <c r="AL30" s="174">
        <f>$O$101</f>
      </c>
      <c r="AM30" s="175">
        <f>$P$101</f>
      </c>
      <c r="AN30" s="175">
        <f>$Q$101</f>
      </c>
      <c r="AO30" s="176">
        <f>$R$101</f>
      </c>
      <c r="AP30" s="175">
        <f>$S$101</f>
      </c>
      <c r="AQ30" s="175">
        <f>$T$101</f>
      </c>
      <c r="AU30" s="174">
        <f>$V$114</f>
      </c>
      <c r="AV30" s="175">
        <f>$W$114</f>
      </c>
      <c r="AW30" s="175">
        <f>$X$114</f>
      </c>
      <c r="AX30" s="176">
        <f>$Y$114</f>
      </c>
      <c r="AY30" s="175">
        <f>$Z$114</f>
      </c>
      <c r="AZ30" s="175">
        <f>$AA$114</f>
      </c>
      <c r="BD30" s="174">
        <f>$AC$115</f>
      </c>
      <c r="BE30" s="175">
        <f>$AD$115</f>
      </c>
      <c r="BF30" s="175">
        <f>$AE$115</f>
      </c>
      <c r="BG30" s="176">
        <f>$AF$115</f>
      </c>
      <c r="BH30" s="175">
        <f>$AG$115</f>
      </c>
      <c r="BI30" s="175">
        <f>$AH$115</f>
      </c>
    </row>
    <row r="31" spans="2:61" ht="18" thickBot="1">
      <c r="B31" s="179">
        <f>N31</f>
        <v>3</v>
      </c>
      <c r="C31" s="179" t="str">
        <f>CONCATENATE(C21,E31)</f>
        <v>D3</v>
      </c>
      <c r="D31" s="102">
        <v>61</v>
      </c>
      <c r="E31" s="106">
        <v>3</v>
      </c>
      <c r="F31" s="103" t="str">
        <f>IF(D31="","",VLOOKUP(D31,'Ranquing Inicial'!$B$6:$V$69,2,0))</f>
        <v>ESTEBAN LEÓN PUIG</v>
      </c>
      <c r="G31" s="106">
        <f>SUM(G22,G26)</f>
        <v>44</v>
      </c>
      <c r="H31" s="106">
        <f>SUM(H21,H25)</f>
        <v>87</v>
      </c>
      <c r="I31" s="118">
        <f>IF(H31="","",G31/H31)</f>
        <v>0.5057471264367817</v>
      </c>
      <c r="J31" s="106">
        <f>MAX(J22,J26)</f>
        <v>6</v>
      </c>
      <c r="K31" s="108">
        <f>SUM(K22,K26)</f>
        <v>0</v>
      </c>
      <c r="L31" s="201" t="str">
        <f>IF(ISERROR(I31),"",N31&amp;"º")</f>
        <v>3º</v>
      </c>
      <c r="M31" s="112">
        <f>IF(ISERROR(I31),"",SUM(K31,I31/1000,J31/1000000))</f>
        <v>0.0005117471264367817</v>
      </c>
      <c r="N31" s="133">
        <f>IF(ISERROR(I31),"",RANK(M31,M29:M31))</f>
        <v>3</v>
      </c>
      <c r="O31" s="137">
        <f>IF(N31=1,VLOOKUP(1,B29:K31,5,0),"")</f>
      </c>
      <c r="P31" s="138">
        <f>IF(N31=1,VLOOKUP(1,B29:K31,6,0),"")</f>
      </c>
      <c r="Q31" s="138">
        <f>IF(N31=1,VLOOKUP(1,B29:K31,7,0),"")</f>
      </c>
      <c r="R31" s="139">
        <f>IF(N31=1,VLOOKUP(1,B29:K31,8,0),"")</f>
      </c>
      <c r="S31" s="138">
        <f>IF(N31=1,VLOOKUP(1,B29:K31,9,0),"")</f>
      </c>
      <c r="T31" s="138">
        <f>IF(N31=1,VLOOKUP(1,B29:K31,10,0),"")</f>
      </c>
      <c r="V31" s="135">
        <f>IF(N31=2,VLOOKUP(2,B29:K31,5,0),"")</f>
      </c>
      <c r="W31" s="138">
        <f>IF(N31=2,VLOOKUP(2,B29:K31,6,0),"")</f>
      </c>
      <c r="X31" s="138">
        <f>IF(N31=2,VLOOKUP(2,B29:K31,7,0),"")</f>
      </c>
      <c r="Y31" s="139">
        <f>IF(N31=2,VLOOKUP(2,B29:K31,8,0),"")</f>
      </c>
      <c r="Z31" s="138">
        <f>IF(N31=2,VLOOKUP(2,B29:K31,9,0),"")</f>
      </c>
      <c r="AA31" s="138">
        <f>IF(N31=2,VLOOKUP(2,B29:K31,10,0),"")</f>
      </c>
      <c r="AC31" s="135" t="str">
        <f>IF(N31=3,VLOOKUP(3,B29:K31,5,0),"")</f>
        <v>ESTEBAN LEÓN PUIG</v>
      </c>
      <c r="AD31" s="138">
        <f>IF(N31=3,VLOOKUP(3,B29:K31,6,0),"")</f>
        <v>44</v>
      </c>
      <c r="AE31" s="138">
        <f>IF(N31=3,VLOOKUP(3,B29:K31,7,0),"")</f>
        <v>87</v>
      </c>
      <c r="AF31" s="139">
        <f>IF(N31=3,VLOOKUP(3,B29:K31,8,0),"")</f>
        <v>0.5057471264367817</v>
      </c>
      <c r="AG31" s="138">
        <f>IF(N31=3,VLOOKUP(3,B29:K31,9,0),"")</f>
        <v>6</v>
      </c>
      <c r="AH31" s="138">
        <f>IF(N31=3,VLOOKUP(3,B29:K31,10,0),"")</f>
        <v>0</v>
      </c>
      <c r="AK31" s="141">
        <v>1</v>
      </c>
      <c r="AL31" s="174" t="str">
        <f>$O$71</f>
        <v>JOAN CARLES FONTANET BELLES</v>
      </c>
      <c r="AM31" s="175">
        <f>$P$71</f>
        <v>60</v>
      </c>
      <c r="AN31" s="175">
        <f>$Q$71</f>
        <v>75</v>
      </c>
      <c r="AO31" s="176">
        <f>$R$71</f>
        <v>0.8</v>
      </c>
      <c r="AP31" s="175">
        <f>$S$71</f>
        <v>5</v>
      </c>
      <c r="AQ31" s="175">
        <f>$T$71</f>
        <v>4</v>
      </c>
      <c r="AT31" s="141">
        <v>1</v>
      </c>
      <c r="AU31" s="174" t="str">
        <f>$V$29</f>
        <v>FRANCISCO MULA CALLEJÓN</v>
      </c>
      <c r="AV31" s="175">
        <f>$W$29</f>
        <v>58</v>
      </c>
      <c r="AW31" s="175">
        <f>$X$29</f>
        <v>87</v>
      </c>
      <c r="AX31" s="176">
        <f>$Y$29</f>
        <v>0.6666666666666666</v>
      </c>
      <c r="AY31" s="175">
        <f>$Z$29</f>
        <v>6</v>
      </c>
      <c r="AZ31" s="175">
        <f>$AA$29</f>
        <v>2</v>
      </c>
      <c r="BC31" s="141">
        <v>1</v>
      </c>
      <c r="BD31" s="174" t="str">
        <f>$AC$101</f>
        <v>JOAN RALITA ROS</v>
      </c>
      <c r="BE31" s="175">
        <f>$AD$101</f>
        <v>42</v>
      </c>
      <c r="BF31" s="175">
        <f>$AE$101</f>
        <v>86</v>
      </c>
      <c r="BG31" s="176">
        <f>$AF$101</f>
        <v>0.4883720930232558</v>
      </c>
      <c r="BH31" s="175">
        <f>$AG$101</f>
        <v>5</v>
      </c>
      <c r="BI31" s="175">
        <f>$AH$101</f>
        <v>2</v>
      </c>
    </row>
    <row r="32" spans="2:62" s="90" customFormat="1" ht="10.5" thickTop="1">
      <c r="B32" s="179"/>
      <c r="I32" s="180">
        <f>MAX(I29:I31)</f>
        <v>0.6666666666666666</v>
      </c>
      <c r="J32" s="179"/>
      <c r="K32" s="179">
        <f>SUM(K29:K31)</f>
        <v>6</v>
      </c>
      <c r="L32" s="179" t="e">
        <f>MODE(K29:K31)</f>
        <v>#N/A</v>
      </c>
      <c r="M32" s="109"/>
      <c r="N32" s="133"/>
      <c r="O32" s="135"/>
      <c r="P32" s="133"/>
      <c r="Q32" s="133"/>
      <c r="R32" s="133"/>
      <c r="S32" s="133"/>
      <c r="T32" s="133"/>
      <c r="U32" s="136"/>
      <c r="V32" s="135"/>
      <c r="W32" s="133"/>
      <c r="X32" s="133"/>
      <c r="Y32" s="133"/>
      <c r="Z32" s="133"/>
      <c r="AA32" s="133"/>
      <c r="AB32" s="136"/>
      <c r="AC32" s="135"/>
      <c r="AD32" s="133"/>
      <c r="AE32" s="133"/>
      <c r="AF32" s="133"/>
      <c r="AG32" s="133"/>
      <c r="AH32" s="133"/>
      <c r="AI32" s="132"/>
      <c r="AJ32" s="143"/>
      <c r="AK32" s="141">
        <v>2</v>
      </c>
      <c r="AL32" s="174" t="str">
        <f>$O$15</f>
        <v>JONATAN HERNÁNDEZ LÓPEZ</v>
      </c>
      <c r="AM32" s="175">
        <f>$P$15</f>
        <v>60</v>
      </c>
      <c r="AN32" s="175">
        <f>$Q$15</f>
        <v>84</v>
      </c>
      <c r="AO32" s="176">
        <f>$R$15</f>
        <v>0.7142857142857143</v>
      </c>
      <c r="AP32" s="175">
        <f>$S$15</f>
        <v>4</v>
      </c>
      <c r="AQ32" s="175">
        <f>$T$15</f>
        <v>4</v>
      </c>
      <c r="AR32" s="132"/>
      <c r="AS32" s="143"/>
      <c r="AT32" s="141">
        <v>2</v>
      </c>
      <c r="AU32" s="174" t="str">
        <f>$V$99</f>
        <v>JAVIER MARTÍNEZ ALBERTO</v>
      </c>
      <c r="AV32" s="175">
        <f>$W$99</f>
        <v>51</v>
      </c>
      <c r="AW32" s="175">
        <f>$X$99</f>
        <v>86</v>
      </c>
      <c r="AX32" s="176">
        <f>$Y$99</f>
        <v>0.5930232558139535</v>
      </c>
      <c r="AY32" s="175">
        <f>$Z$99</f>
        <v>5</v>
      </c>
      <c r="AZ32" s="175">
        <f>$AA$99</f>
        <v>2</v>
      </c>
      <c r="BA32" s="136"/>
      <c r="BB32" s="143"/>
      <c r="BC32" s="141">
        <v>2</v>
      </c>
      <c r="BD32" s="174" t="str">
        <f>$AC$114</f>
        <v>MANUEL CUENCA PARDO</v>
      </c>
      <c r="BE32" s="175">
        <f>$AD$114</f>
        <v>46</v>
      </c>
      <c r="BF32" s="175">
        <f>$AE$114</f>
        <v>100</v>
      </c>
      <c r="BG32" s="176">
        <f>$AF$114</f>
        <v>0.46</v>
      </c>
      <c r="BH32" s="175">
        <f>$AG$114</f>
        <v>3</v>
      </c>
      <c r="BI32" s="175">
        <f>$AH$114</f>
        <v>2</v>
      </c>
      <c r="BJ32" s="136"/>
    </row>
    <row r="33" spans="37:61" ht="12">
      <c r="AK33" s="141">
        <v>3</v>
      </c>
      <c r="AL33" s="174" t="str">
        <f>$O$43</f>
        <v>RAFAEL SALAZAR HERNÁNDEZ</v>
      </c>
      <c r="AM33" s="175">
        <f>$P$43</f>
        <v>60</v>
      </c>
      <c r="AN33" s="175">
        <f>$Q$43</f>
        <v>93</v>
      </c>
      <c r="AO33" s="176">
        <f>$R$43</f>
        <v>0.6451612903225806</v>
      </c>
      <c r="AP33" s="175">
        <f>$S$43</f>
        <v>4</v>
      </c>
      <c r="AQ33" s="175">
        <f>$T$43</f>
        <v>4</v>
      </c>
      <c r="AT33" s="141">
        <v>3</v>
      </c>
      <c r="AU33" s="174" t="str">
        <f>$V$87</f>
        <v>ANTONIO MONTES GALLARDO</v>
      </c>
      <c r="AV33" s="175">
        <f>$W$87</f>
        <v>53</v>
      </c>
      <c r="AW33" s="175">
        <f>$X$87</f>
        <v>94</v>
      </c>
      <c r="AX33" s="176">
        <f>$Y$87</f>
        <v>0.5638297872340425</v>
      </c>
      <c r="AY33" s="175">
        <f>$Z$87</f>
        <v>4</v>
      </c>
      <c r="AZ33" s="175">
        <f>$AA$87</f>
        <v>2</v>
      </c>
      <c r="BC33" s="141">
        <v>3</v>
      </c>
      <c r="BD33" s="174" t="str">
        <f>$AC$86</f>
        <v>VICENTE ALBERICH SÁNCHEZ</v>
      </c>
      <c r="BE33" s="175">
        <f>$AD$86</f>
        <v>49</v>
      </c>
      <c r="BF33" s="175">
        <f>$AE$86</f>
        <v>86</v>
      </c>
      <c r="BG33" s="176">
        <f>$AF$86</f>
        <v>0.5697674418604651</v>
      </c>
      <c r="BH33" s="175">
        <f>$AG$86</f>
        <v>6</v>
      </c>
      <c r="BI33" s="175">
        <f>$AH$86</f>
        <v>0</v>
      </c>
    </row>
    <row r="34" spans="6:61" ht="12.75" thickBot="1">
      <c r="F34" s="89" t="s">
        <v>262</v>
      </c>
      <c r="G34" s="89" t="s">
        <v>263</v>
      </c>
      <c r="H34" s="89" t="s">
        <v>264</v>
      </c>
      <c r="I34" s="89" t="s">
        <v>309</v>
      </c>
      <c r="J34" s="89" t="s">
        <v>266</v>
      </c>
      <c r="K34" s="89" t="s">
        <v>301</v>
      </c>
      <c r="AK34" s="141">
        <v>4</v>
      </c>
      <c r="AL34" s="174" t="str">
        <f>$O$85</f>
        <v>RAFAEL PÉREZ ZORRILLA</v>
      </c>
      <c r="AM34" s="175">
        <f>$P$85</f>
        <v>59</v>
      </c>
      <c r="AN34" s="175">
        <f>$Q$85</f>
        <v>92</v>
      </c>
      <c r="AO34" s="176">
        <f>$R$85</f>
        <v>0.6413043478260869</v>
      </c>
      <c r="AP34" s="175">
        <f>$S$85</f>
        <v>9</v>
      </c>
      <c r="AQ34" s="175">
        <f>$T$85</f>
        <v>4</v>
      </c>
      <c r="AT34" s="141">
        <v>4</v>
      </c>
      <c r="AU34" s="174" t="str">
        <f>$V$72</f>
        <v>MANEL PARÉS HERRERA</v>
      </c>
      <c r="AV34" s="175">
        <f>$W$72</f>
        <v>41</v>
      </c>
      <c r="AW34" s="175">
        <f>$X$72</f>
        <v>84</v>
      </c>
      <c r="AX34" s="176">
        <f>$Y$72</f>
        <v>0.4880952380952381</v>
      </c>
      <c r="AY34" s="175">
        <f>$Z$72</f>
        <v>4</v>
      </c>
      <c r="AZ34" s="175">
        <f>$AA$72</f>
        <v>2</v>
      </c>
      <c r="BC34" s="141">
        <v>4</v>
      </c>
      <c r="BD34" s="174" t="str">
        <f>$AC$31</f>
        <v>ESTEBAN LEÓN PUIG</v>
      </c>
      <c r="BE34" s="175">
        <f>$AD$31</f>
        <v>44</v>
      </c>
      <c r="BF34" s="175">
        <f>$AE$31</f>
        <v>87</v>
      </c>
      <c r="BG34" s="176">
        <f>$AF$31</f>
        <v>0.5057471264367817</v>
      </c>
      <c r="BH34" s="175">
        <f>$AG$31</f>
        <v>6</v>
      </c>
      <c r="BI34" s="175">
        <f>$AH$31</f>
        <v>0</v>
      </c>
    </row>
    <row r="35" spans="3:61" ht="15.75" customHeight="1" thickTop="1">
      <c r="C35" s="646" t="str">
        <f>'Fase Grups'!I5</f>
        <v>E</v>
      </c>
      <c r="D35" s="123">
        <f>'Fase Grups'!$N$13</f>
        <v>0.3958333333333333</v>
      </c>
      <c r="E35" s="91" t="str">
        <f>C44</f>
        <v>E2</v>
      </c>
      <c r="F35" s="92" t="str">
        <f aca="true" t="shared" si="2" ref="F35:F40">VLOOKUP(E35,$C$43:$F$45,4,1)</f>
        <v>IGNACIO MORUNO RAYA</v>
      </c>
      <c r="G35" s="120">
        <v>24</v>
      </c>
      <c r="H35" s="644">
        <v>50</v>
      </c>
      <c r="I35" s="94">
        <f>IF(H35="","",G35/H35)</f>
        <v>0.48</v>
      </c>
      <c r="J35" s="120">
        <v>4</v>
      </c>
      <c r="K35" s="95">
        <f>IF(H35="","",IF(G35&lt;G36,0,IF(G35&gt;G36,2,1)))</f>
        <v>2</v>
      </c>
      <c r="L35" s="96"/>
      <c r="AK35" s="141">
        <v>5</v>
      </c>
      <c r="AL35" s="174" t="str">
        <f>$O$57</f>
        <v>JOSEP BARGALLÓ JAUME</v>
      </c>
      <c r="AM35" s="175">
        <f>$P$57</f>
        <v>60</v>
      </c>
      <c r="AN35" s="175">
        <f>$Q$57</f>
        <v>97</v>
      </c>
      <c r="AO35" s="176">
        <f>$R$57</f>
        <v>0.6185567010309279</v>
      </c>
      <c r="AP35" s="175">
        <f>$S$57</f>
        <v>4</v>
      </c>
      <c r="AQ35" s="175">
        <f>$T$57</f>
        <v>4</v>
      </c>
      <c r="AT35" s="141">
        <v>5</v>
      </c>
      <c r="AU35" s="174" t="str">
        <f>$V$44</f>
        <v>IGNACIO MORUNO RAYA</v>
      </c>
      <c r="AV35" s="175">
        <f>$W$44</f>
        <v>45</v>
      </c>
      <c r="AW35" s="175">
        <f>$X$44</f>
        <v>96</v>
      </c>
      <c r="AX35" s="176">
        <f>$Y$44</f>
        <v>0.46875</v>
      </c>
      <c r="AY35" s="175">
        <f>$Z$44</f>
        <v>4</v>
      </c>
      <c r="AZ35" s="175">
        <f>$AA$44</f>
        <v>2</v>
      </c>
      <c r="BC35" s="141">
        <v>5</v>
      </c>
      <c r="BD35" s="174" t="str">
        <f>$AC$45</f>
        <v>CARLES SÁNCHEZ TRIGUEROS</v>
      </c>
      <c r="BE35" s="175">
        <f>$AD$45</f>
        <v>38</v>
      </c>
      <c r="BF35" s="175">
        <f>$AE$45</f>
        <v>97</v>
      </c>
      <c r="BG35" s="176">
        <f>$AF$45</f>
        <v>0.3917525773195876</v>
      </c>
      <c r="BH35" s="175">
        <f>$AG$45</f>
        <v>4</v>
      </c>
      <c r="BI35" s="175">
        <f>$AH$45</f>
        <v>0</v>
      </c>
    </row>
    <row r="36" spans="3:61" ht="15.75" customHeight="1" thickBot="1">
      <c r="C36" s="647"/>
      <c r="D36" s="124" t="str">
        <f>CONCATENATE("Mesa ",'Fase Grups'!$T$12)</f>
        <v>Mesa 3</v>
      </c>
      <c r="E36" s="97" t="str">
        <f>C45</f>
        <v>E3</v>
      </c>
      <c r="F36" s="98" t="str">
        <f t="shared" si="2"/>
        <v>CARLES SÁNCHEZ TRIGUEROS</v>
      </c>
      <c r="G36" s="121">
        <v>17</v>
      </c>
      <c r="H36" s="645"/>
      <c r="I36" s="100">
        <f>IF(H35="","",G36/H35)</f>
        <v>0.34</v>
      </c>
      <c r="J36" s="121">
        <v>2</v>
      </c>
      <c r="K36" s="101">
        <f>IF(H35="","",IF(G36&lt;G35,0,IF(G36&gt;G35,2,1)))</f>
        <v>0</v>
      </c>
      <c r="L36" s="96"/>
      <c r="AK36" s="141">
        <v>6</v>
      </c>
      <c r="AL36" s="174" t="str">
        <f>$O$30</f>
        <v>DAVID BOSQUED TORÉ</v>
      </c>
      <c r="AM36" s="175">
        <f>$P$30</f>
        <v>55</v>
      </c>
      <c r="AN36" s="175">
        <f>$Q$30</f>
        <v>100</v>
      </c>
      <c r="AO36" s="176">
        <f>$R$30</f>
        <v>0.55</v>
      </c>
      <c r="AP36" s="175">
        <f>$S$30</f>
        <v>5</v>
      </c>
      <c r="AQ36" s="175">
        <f>$T$30</f>
        <v>4</v>
      </c>
      <c r="AT36" s="141">
        <v>6</v>
      </c>
      <c r="AU36" s="174" t="str">
        <f>$V$113</f>
        <v>YHOJAN DEIBIS FERNÁNDEZ</v>
      </c>
      <c r="AV36" s="175">
        <f>$W$113</f>
        <v>46</v>
      </c>
      <c r="AW36" s="175">
        <f>$X$113</f>
        <v>100</v>
      </c>
      <c r="AX36" s="176">
        <f>$Y$113</f>
        <v>0.46</v>
      </c>
      <c r="AY36" s="175">
        <f>$Z$113</f>
        <v>6</v>
      </c>
      <c r="AZ36" s="175">
        <f>$AA$113</f>
        <v>2</v>
      </c>
      <c r="BC36" s="141">
        <v>6</v>
      </c>
      <c r="BD36" s="174" t="str">
        <f>$AC$17</f>
        <v>MARTA SERRAMITJANA JUAN</v>
      </c>
      <c r="BE36" s="175">
        <f>$AD$17</f>
        <v>35</v>
      </c>
      <c r="BF36" s="175">
        <f>$AE$17</f>
        <v>92</v>
      </c>
      <c r="BG36" s="176">
        <f>$AF$17</f>
        <v>0.3804347826086957</v>
      </c>
      <c r="BH36" s="175">
        <f>$AG$17</f>
        <v>3</v>
      </c>
      <c r="BI36" s="175">
        <f>$AH$17</f>
        <v>0</v>
      </c>
    </row>
    <row r="37" spans="3:61" ht="15.75" customHeight="1" thickTop="1">
      <c r="C37" s="647"/>
      <c r="D37" s="123">
        <v>0.7291666666666666</v>
      </c>
      <c r="E37" s="91" t="str">
        <f>C43</f>
        <v>E1</v>
      </c>
      <c r="F37" s="92" t="str">
        <f t="shared" si="2"/>
        <v>RAFAEL SALAZAR HERNÁNDEZ</v>
      </c>
      <c r="G37" s="120">
        <v>30</v>
      </c>
      <c r="H37" s="644">
        <v>46</v>
      </c>
      <c r="I37" s="94">
        <f>IF(H37="","",G37/H37)</f>
        <v>0.6521739130434783</v>
      </c>
      <c r="J37" s="120">
        <v>4</v>
      </c>
      <c r="K37" s="95">
        <f>IF(H37="","",IF(G37&lt;G38,0,IF(G37&gt;G38,2,1)))</f>
        <v>2</v>
      </c>
      <c r="L37" s="96"/>
      <c r="AK37" s="141">
        <v>7</v>
      </c>
      <c r="AL37" s="174" t="str">
        <f>$O$100</f>
        <v>JOHN JAIRO ZULETA GIRALDO</v>
      </c>
      <c r="AM37" s="175">
        <f>$P$100</f>
        <v>52</v>
      </c>
      <c r="AN37" s="175">
        <f>$Q$100</f>
        <v>80</v>
      </c>
      <c r="AO37" s="176">
        <f>$R$100</f>
        <v>0.65</v>
      </c>
      <c r="AP37" s="175">
        <f>$S$100</f>
        <v>6</v>
      </c>
      <c r="AQ37" s="175">
        <f>$T$100</f>
        <v>2</v>
      </c>
      <c r="AT37" s="141">
        <v>7</v>
      </c>
      <c r="AU37" s="174" t="str">
        <f>$V$16</f>
        <v>HENRY CASTRO TÉLLEZ</v>
      </c>
      <c r="AV37" s="175">
        <f>$W$16</f>
        <v>41</v>
      </c>
      <c r="AW37" s="175">
        <f>$X$16</f>
        <v>92</v>
      </c>
      <c r="AX37" s="176">
        <f>$Y$16</f>
        <v>0.44565217391304346</v>
      </c>
      <c r="AY37" s="175">
        <f>$Z$16</f>
        <v>4</v>
      </c>
      <c r="AZ37" s="175">
        <f>$AA$16</f>
        <v>2</v>
      </c>
      <c r="BC37" s="141">
        <v>7</v>
      </c>
      <c r="BD37" s="174" t="str">
        <f>$AC$58</f>
        <v>JORDI ARMENGOL BERTRÁN</v>
      </c>
      <c r="BE37" s="175">
        <f>$AD$58</f>
        <v>33</v>
      </c>
      <c r="BF37" s="175">
        <f>$AE$58</f>
        <v>97</v>
      </c>
      <c r="BG37" s="176">
        <f>$AF$58</f>
        <v>0.3402061855670103</v>
      </c>
      <c r="BH37" s="175">
        <f>$AG$58</f>
        <v>3</v>
      </c>
      <c r="BI37" s="175">
        <f>$AH$58</f>
        <v>0</v>
      </c>
    </row>
    <row r="38" spans="3:61" ht="15.75" customHeight="1" thickBot="1">
      <c r="C38" s="647"/>
      <c r="D38" s="197" t="s">
        <v>308</v>
      </c>
      <c r="E38" s="102" t="str">
        <f>C44</f>
        <v>E2</v>
      </c>
      <c r="F38" s="103" t="str">
        <f t="shared" si="2"/>
        <v>IGNACIO MORUNO RAYA</v>
      </c>
      <c r="G38" s="121">
        <v>21</v>
      </c>
      <c r="H38" s="645"/>
      <c r="I38" s="100">
        <f>IF(H37="","",G38/H37)</f>
        <v>0.45652173913043476</v>
      </c>
      <c r="J38" s="121">
        <v>3</v>
      </c>
      <c r="K38" s="101">
        <f>IF(H37="","",IF(G38&lt;G37,0,IF(G38&gt;G37,2,1)))</f>
        <v>0</v>
      </c>
      <c r="L38" s="96"/>
      <c r="AK38" s="141">
        <v>8</v>
      </c>
      <c r="AL38" s="174" t="str">
        <f>$O$115</f>
        <v>ENRIQUE YAÑEZ ACUÑA</v>
      </c>
      <c r="AM38" s="175">
        <f>$P$115</f>
        <v>51</v>
      </c>
      <c r="AN38" s="175">
        <f>$Q$115</f>
        <v>100</v>
      </c>
      <c r="AO38" s="176">
        <f>$R$115</f>
        <v>0.51</v>
      </c>
      <c r="AP38" s="175">
        <f>$S$115</f>
        <v>3</v>
      </c>
      <c r="AQ38" s="175">
        <f>$T$115</f>
        <v>2</v>
      </c>
      <c r="AT38" s="141">
        <v>8</v>
      </c>
      <c r="AU38" s="174" t="str">
        <f>$V$59</f>
        <v>VALENTÍN CARRILLO LETONA</v>
      </c>
      <c r="AV38" s="175">
        <f>$W$59</f>
        <v>38</v>
      </c>
      <c r="AW38" s="175">
        <f>$X$59</f>
        <v>100</v>
      </c>
      <c r="AX38" s="176">
        <f>$Y$59</f>
        <v>0.38</v>
      </c>
      <c r="AY38" s="175">
        <f>$Z$59</f>
        <v>2</v>
      </c>
      <c r="AZ38" s="175">
        <f>$AA$59</f>
        <v>2</v>
      </c>
      <c r="BC38" s="141">
        <v>8</v>
      </c>
      <c r="BD38" s="174" t="str">
        <f>$AC$73</f>
        <v>LUIS NAVARRO DE LOS SANTOS</v>
      </c>
      <c r="BE38" s="175">
        <f>$AD$73</f>
        <v>30</v>
      </c>
      <c r="BF38" s="175">
        <f>$AE$73</f>
        <v>91</v>
      </c>
      <c r="BG38" s="176">
        <f>$AF$73</f>
        <v>0.32967032967032966</v>
      </c>
      <c r="BH38" s="175">
        <f>$AG$73</f>
        <v>3</v>
      </c>
      <c r="BI38" s="175">
        <f>$AH$73</f>
        <v>0</v>
      </c>
    </row>
    <row r="39" spans="3:61" ht="15.75" customHeight="1" thickTop="1">
      <c r="C39" s="647"/>
      <c r="D39" s="196">
        <v>0.5208333333333334</v>
      </c>
      <c r="E39" s="104" t="str">
        <f>C43</f>
        <v>E1</v>
      </c>
      <c r="F39" s="105" t="str">
        <f t="shared" si="2"/>
        <v>RAFAEL SALAZAR HERNÁNDEZ</v>
      </c>
      <c r="G39" s="120">
        <v>30</v>
      </c>
      <c r="H39" s="644">
        <v>47</v>
      </c>
      <c r="I39" s="94">
        <f>IF(H39="","",G39/H39)</f>
        <v>0.6382978723404256</v>
      </c>
      <c r="J39" s="120">
        <v>4</v>
      </c>
      <c r="K39" s="95">
        <f>IF(H39="","",IF(G39&lt;G40,0,IF(G39&gt;G40,2,1)))</f>
        <v>2</v>
      </c>
      <c r="L39" s="96"/>
      <c r="AL39" s="90"/>
      <c r="AM39" s="90"/>
      <c r="AN39" s="90"/>
      <c r="AO39" s="90"/>
      <c r="AP39" s="90"/>
      <c r="AQ39" s="90"/>
      <c r="AU39" s="141"/>
      <c r="AV39" s="141"/>
      <c r="AW39" s="141"/>
      <c r="AX39" s="141"/>
      <c r="AY39" s="141"/>
      <c r="AZ39" s="141"/>
      <c r="BD39" s="90"/>
      <c r="BE39" s="90"/>
      <c r="BF39" s="90"/>
      <c r="BG39" s="90"/>
      <c r="BH39" s="90"/>
      <c r="BI39" s="90"/>
    </row>
    <row r="40" spans="3:52" ht="15.75" customHeight="1" thickBot="1">
      <c r="C40" s="648"/>
      <c r="D40" s="197" t="s">
        <v>308</v>
      </c>
      <c r="E40" s="102" t="str">
        <f>C45</f>
        <v>E3</v>
      </c>
      <c r="F40" s="103" t="str">
        <f t="shared" si="2"/>
        <v>CARLES SÁNCHEZ TRIGUEROS</v>
      </c>
      <c r="G40" s="122">
        <v>21</v>
      </c>
      <c r="H40" s="645"/>
      <c r="I40" s="107">
        <f>IF(H39="","",G40/H39)</f>
        <v>0.44680851063829785</v>
      </c>
      <c r="J40" s="122">
        <v>4</v>
      </c>
      <c r="K40" s="108">
        <f>IF(H39="","",IF(G40&lt;G39,0,IF(G40&gt;G39,2,1)))</f>
        <v>0</v>
      </c>
      <c r="L40" s="96"/>
      <c r="AU40" s="142"/>
      <c r="AV40" s="142"/>
      <c r="AW40" s="142"/>
      <c r="AX40" s="142"/>
      <c r="AY40" s="142"/>
      <c r="AZ40" s="142"/>
    </row>
    <row r="41" spans="2:62" s="90" customFormat="1" ht="12">
      <c r="B41" s="179"/>
      <c r="G41" s="179">
        <f>SUM(G35:G40)</f>
        <v>143</v>
      </c>
      <c r="M41" s="109"/>
      <c r="N41" s="133"/>
      <c r="O41" s="135"/>
      <c r="P41" s="133"/>
      <c r="Q41" s="133"/>
      <c r="R41" s="133"/>
      <c r="S41" s="133"/>
      <c r="T41" s="133"/>
      <c r="U41" s="136"/>
      <c r="V41" s="135"/>
      <c r="W41" s="133"/>
      <c r="X41" s="133"/>
      <c r="Y41" s="133"/>
      <c r="Z41" s="133"/>
      <c r="AA41" s="133"/>
      <c r="AB41" s="136"/>
      <c r="AC41" s="135"/>
      <c r="AD41" s="133"/>
      <c r="AE41" s="133"/>
      <c r="AF41" s="133"/>
      <c r="AG41" s="133"/>
      <c r="AH41" s="133"/>
      <c r="AI41" s="132"/>
      <c r="AJ41" s="143"/>
      <c r="AK41" s="141"/>
      <c r="AL41" s="89"/>
      <c r="AM41" s="89"/>
      <c r="AN41" s="89"/>
      <c r="AO41" s="89"/>
      <c r="AP41" s="89"/>
      <c r="AQ41" s="89"/>
      <c r="AR41" s="132"/>
      <c r="AS41" s="143"/>
      <c r="AT41" s="141"/>
      <c r="AU41" s="142"/>
      <c r="AV41" s="142"/>
      <c r="AW41" s="142"/>
      <c r="AX41" s="142"/>
      <c r="AY41" s="142"/>
      <c r="AZ41" s="142"/>
      <c r="BA41" s="136"/>
      <c r="BB41" s="143"/>
      <c r="BC41" s="141"/>
      <c r="BD41" s="89"/>
      <c r="BE41" s="89"/>
      <c r="BF41" s="89"/>
      <c r="BG41" s="89"/>
      <c r="BH41" s="89"/>
      <c r="BI41" s="89"/>
      <c r="BJ41" s="136"/>
    </row>
    <row r="42" spans="2:52" ht="12.75" thickBot="1">
      <c r="B42" s="179" t="s">
        <v>271</v>
      </c>
      <c r="D42" s="119" t="s">
        <v>268</v>
      </c>
      <c r="E42" s="173" t="str">
        <f>C35</f>
        <v>E</v>
      </c>
      <c r="F42" s="89" t="s">
        <v>262</v>
      </c>
      <c r="G42" s="89" t="s">
        <v>263</v>
      </c>
      <c r="H42" s="89" t="s">
        <v>264</v>
      </c>
      <c r="I42" s="89" t="s">
        <v>309</v>
      </c>
      <c r="J42" s="89" t="s">
        <v>266</v>
      </c>
      <c r="K42" s="89" t="s">
        <v>301</v>
      </c>
      <c r="L42" s="89" t="s">
        <v>269</v>
      </c>
      <c r="M42" s="109" t="s">
        <v>272</v>
      </c>
      <c r="N42" s="133" t="s">
        <v>270</v>
      </c>
      <c r="AU42" s="142"/>
      <c r="AV42" s="142"/>
      <c r="AW42" s="142"/>
      <c r="AX42" s="142"/>
      <c r="AY42" s="142"/>
      <c r="AZ42" s="142"/>
    </row>
    <row r="43" spans="2:52" ht="18" thickTop="1">
      <c r="B43" s="179">
        <f>N43</f>
        <v>1</v>
      </c>
      <c r="C43" s="179" t="str">
        <f>CONCATENATE(C35,E43)</f>
        <v>E1</v>
      </c>
      <c r="D43" s="91">
        <v>21</v>
      </c>
      <c r="E43" s="93">
        <v>1</v>
      </c>
      <c r="F43" s="92" t="str">
        <f>IF(D43="","",VLOOKUP(D43,'Ranquing Inicial'!$B$6:$V$69,2,0))</f>
        <v>RAFAEL SALAZAR HERNÁNDEZ</v>
      </c>
      <c r="G43" s="93">
        <f>SUM(G37,G39)</f>
        <v>60</v>
      </c>
      <c r="H43" s="93">
        <f>SUM(H37,H39)</f>
        <v>93</v>
      </c>
      <c r="I43" s="111">
        <f>IF(H43="","",G43/H43)</f>
        <v>0.6451612903225806</v>
      </c>
      <c r="J43" s="93">
        <f>MAX(J37,J39)</f>
        <v>4</v>
      </c>
      <c r="K43" s="95">
        <f>SUM(K37,K39)</f>
        <v>4</v>
      </c>
      <c r="L43" s="200" t="str">
        <f>IF(ISERROR(I43),"",N43&amp;"º")</f>
        <v>1º</v>
      </c>
      <c r="M43" s="112">
        <f>IF(ISERROR(I43),"",SUM(K43,I43/1000,J43/1000000))</f>
        <v>4.0006491612903226</v>
      </c>
      <c r="N43" s="133">
        <f>IF(ISERROR(I43),"",RANK(M43,M43:M45))</f>
        <v>1</v>
      </c>
      <c r="O43" s="137" t="str">
        <f>IF(N43=1,VLOOKUP(1,B43:K45,5,0),"")</f>
        <v>RAFAEL SALAZAR HERNÁNDEZ</v>
      </c>
      <c r="P43" s="138">
        <f>IF(N43=1,VLOOKUP(1,B43:K45,6,0),"")</f>
        <v>60</v>
      </c>
      <c r="Q43" s="138">
        <f>IF(N43=1,VLOOKUP(1,B43:K45,7,0),"")</f>
        <v>93</v>
      </c>
      <c r="R43" s="139">
        <f>IF(N43=1,VLOOKUP(1,B43:K45,8,0),"")</f>
        <v>0.6451612903225806</v>
      </c>
      <c r="S43" s="138">
        <f>IF(N43=1,VLOOKUP(1,B43:K45,9,0),"")</f>
        <v>4</v>
      </c>
      <c r="T43" s="138">
        <f>IF(N43=1,VLOOKUP(1,B43:K45,10,0),"")</f>
        <v>4</v>
      </c>
      <c r="V43" s="137">
        <f>IF(N43=2,VLOOKUP(2,B43:K45,5,0),"")</f>
      </c>
      <c r="W43" s="138">
        <f>IF(N43=2,VLOOKUP(2,B43:K45,6,0),"")</f>
      </c>
      <c r="X43" s="138">
        <f>IF(N43=2,VLOOKUP(2,B43:K45,7,0),"")</f>
      </c>
      <c r="Y43" s="139">
        <f>IF(N43=2,VLOOKUP(2,B43:K45,8,0),"")</f>
      </c>
      <c r="Z43" s="138">
        <f>IF(N43=2,VLOOKUP(2,B43:K45,9,0),"")</f>
      </c>
      <c r="AA43" s="138">
        <f>IF(N43=2,VLOOKUP(2,$B$15:$K$17,10,0),"")</f>
      </c>
      <c r="AC43" s="135">
        <f>IF(N43=3,VLOOKUP(3,B43:K45,5,0),"")</f>
      </c>
      <c r="AD43" s="138">
        <f>IF(N43=3,VLOOKUP(3,B43:K45,6,0),"")</f>
      </c>
      <c r="AE43" s="138">
        <f>IF(N43=3,VLOOKUP(3,B43:K45,7,0),"")</f>
      </c>
      <c r="AF43" s="139">
        <f>IF(N43=3,VLOOKUP(3,B43:K45,8,0),"")</f>
      </c>
      <c r="AG43" s="138">
        <f>IF(N43=3,VLOOKUP(3,B43:K45,9,0),"")</f>
      </c>
      <c r="AH43" s="138">
        <f>IF(N43=3,VLOOKUP(3,B43:K45,10,0),"")</f>
      </c>
      <c r="AU43" s="142"/>
      <c r="AV43" s="142"/>
      <c r="AW43" s="142"/>
      <c r="AX43" s="142"/>
      <c r="AY43" s="142"/>
      <c r="AZ43" s="142"/>
    </row>
    <row r="44" spans="2:52" ht="16.5">
      <c r="B44" s="179">
        <f>N44</f>
        <v>2</v>
      </c>
      <c r="C44" s="179" t="str">
        <f>CONCATENATE(C35,E44)</f>
        <v>E2</v>
      </c>
      <c r="D44" s="113">
        <v>44</v>
      </c>
      <c r="E44" s="114">
        <v>2</v>
      </c>
      <c r="F44" s="115" t="str">
        <f>IF(D44="","",VLOOKUP(D44,'Ranquing Inicial'!$B$6:$V$69,2,0))</f>
        <v>IGNACIO MORUNO RAYA</v>
      </c>
      <c r="G44" s="114">
        <f>SUM(G35,G38)</f>
        <v>45</v>
      </c>
      <c r="H44" s="114">
        <f>SUM(H35,H37)</f>
        <v>96</v>
      </c>
      <c r="I44" s="116">
        <f>IF(H44="","",G44/H44)</f>
        <v>0.46875</v>
      </c>
      <c r="J44" s="114">
        <f>MAX(J35,J38)</f>
        <v>4</v>
      </c>
      <c r="K44" s="117">
        <f>SUM(K35,K38)</f>
        <v>2</v>
      </c>
      <c r="L44" s="199" t="str">
        <f>IF(ISERROR(I44),"",N44&amp;"º")</f>
        <v>2º</v>
      </c>
      <c r="M44" s="112">
        <f>IF(ISERROR(I44),"",SUM(K44,I44/1000,J44/1000000))</f>
        <v>2.00047275</v>
      </c>
      <c r="N44" s="133">
        <f>IF(ISERROR(I44),"",RANK(M44,M43:M45))</f>
        <v>2</v>
      </c>
      <c r="O44" s="137">
        <f>IF(N44=1,VLOOKUP(1,B43:K45,5,0),"")</f>
      </c>
      <c r="P44" s="138">
        <f>IF(N44=1,VLOOKUP(1,B43:K45,6,0),"")</f>
      </c>
      <c r="Q44" s="138">
        <f>IF(N44=1,VLOOKUP(1,B43:K45,7,0),"")</f>
      </c>
      <c r="R44" s="139">
        <f>IF(N44=1,VLOOKUP(1,B43:K45,8,0),"")</f>
      </c>
      <c r="S44" s="138">
        <f>IF(N44=1,VLOOKUP(1,B43:K45,9,0),"")</f>
      </c>
      <c r="T44" s="138">
        <f>IF(N44=1,VLOOKUP(1,B43:K45,10,0),"")</f>
      </c>
      <c r="V44" s="137" t="str">
        <f>IF(N44=2,VLOOKUP(2,B43:K45,5,0),"")</f>
        <v>IGNACIO MORUNO RAYA</v>
      </c>
      <c r="W44" s="138">
        <f>IF(N44=2,VLOOKUP(2,B43:K45,6,0),"")</f>
        <v>45</v>
      </c>
      <c r="X44" s="138">
        <f>IF(N44=2,VLOOKUP(2,B43:K45,7,0),"")</f>
        <v>96</v>
      </c>
      <c r="Y44" s="139">
        <f>IF(N44=2,VLOOKUP(2,B43:$K45,8,0),"")</f>
        <v>0.46875</v>
      </c>
      <c r="Z44" s="138">
        <f>IF(N44=2,VLOOKUP(2,B43:K45,9,0),"")</f>
        <v>4</v>
      </c>
      <c r="AA44" s="138">
        <f>IF(N44=2,VLOOKUP(2,B43:K45,10,0),"")</f>
        <v>2</v>
      </c>
      <c r="AC44" s="135">
        <f>IF(N44=3,VLOOKUP(3,B43:K45,5,0),"")</f>
      </c>
      <c r="AD44" s="138">
        <f>IF(N44=3,VLOOKUP(3,B43:K45,6,0),"")</f>
      </c>
      <c r="AE44" s="138">
        <f>IF(N44=3,VLOOKUP(3,B43:K45,7,0),"")</f>
      </c>
      <c r="AF44" s="139">
        <f>IF(N44=3,VLOOKUP(3,B43:K45,8,0),"")</f>
      </c>
      <c r="AG44" s="138">
        <f>IF(N44=3,VLOOKUP(3,B43:K45,9,0),"")</f>
      </c>
      <c r="AH44" s="138">
        <f>IF(N44=3,VLOOKUP(3,B43:K45,10,0),"")</f>
      </c>
      <c r="AU44" s="142"/>
      <c r="AV44" s="142"/>
      <c r="AW44" s="142"/>
      <c r="AX44" s="142"/>
      <c r="AY44" s="142"/>
      <c r="AZ44" s="142"/>
    </row>
    <row r="45" spans="2:52" ht="18" thickBot="1">
      <c r="B45" s="179">
        <f>N45</f>
        <v>3</v>
      </c>
      <c r="C45" s="179" t="str">
        <f>CONCATENATE(C35,E45)</f>
        <v>E3</v>
      </c>
      <c r="D45" s="102">
        <v>60</v>
      </c>
      <c r="E45" s="106">
        <v>3</v>
      </c>
      <c r="F45" s="103" t="str">
        <f>IF(D45="","",VLOOKUP(D45,'Ranquing Inicial'!$B$6:$V$69,2,0))</f>
        <v>CARLES SÁNCHEZ TRIGUEROS</v>
      </c>
      <c r="G45" s="106">
        <f>SUM(G36,G40)</f>
        <v>38</v>
      </c>
      <c r="H45" s="106">
        <f>SUM(H35,H39)</f>
        <v>97</v>
      </c>
      <c r="I45" s="118">
        <f>IF(H45="","",G45/H45)</f>
        <v>0.3917525773195876</v>
      </c>
      <c r="J45" s="106">
        <f>MAX(J36,J40)</f>
        <v>4</v>
      </c>
      <c r="K45" s="108">
        <f>SUM(K36,K40)</f>
        <v>0</v>
      </c>
      <c r="L45" s="201" t="str">
        <f>IF(ISERROR(I45),"",N45&amp;"º")</f>
        <v>3º</v>
      </c>
      <c r="M45" s="112">
        <f>IF(ISERROR(I45),"",SUM(K45,I45/1000,J45/1000000))</f>
        <v>0.0003957525773195876</v>
      </c>
      <c r="N45" s="133">
        <f>IF(ISERROR(I45),"",RANK(M45,M43:M45))</f>
        <v>3</v>
      </c>
      <c r="O45" s="137">
        <f>IF(N45=1,VLOOKUP(1,B43:K45,5,0),"")</f>
      </c>
      <c r="P45" s="138">
        <f>IF(N45=1,VLOOKUP(1,B43:K45,6,0),"")</f>
      </c>
      <c r="Q45" s="138">
        <f>IF(N45=1,VLOOKUP(1,B43:K45,7,0),"")</f>
      </c>
      <c r="R45" s="139">
        <f>IF(N45=1,VLOOKUP(1,B43:K45,8,0),"")</f>
      </c>
      <c r="S45" s="138">
        <f>IF(N45=1,VLOOKUP(1,B43:K45,9,0),"")</f>
      </c>
      <c r="T45" s="138">
        <f>IF(N45=1,VLOOKUP(1,B43:K45,10,0),"")</f>
      </c>
      <c r="V45" s="135">
        <f>IF(N45=2,VLOOKUP(2,B43:K45,5,0),"")</f>
      </c>
      <c r="W45" s="138">
        <f>IF(N45=2,VLOOKUP(2,B43:K45,6,0),"")</f>
      </c>
      <c r="X45" s="138">
        <f>IF(N45=2,VLOOKUP(2,B43:K45,7,0),"")</f>
      </c>
      <c r="Y45" s="139">
        <f>IF(N45=2,VLOOKUP(2,B43:K45,8,0),"")</f>
      </c>
      <c r="Z45" s="138">
        <f>IF(N45=2,VLOOKUP(2,B43:K45,9,0),"")</f>
      </c>
      <c r="AA45" s="138">
        <f>IF(N45=2,VLOOKUP(2,B43:K45,10,0),"")</f>
      </c>
      <c r="AC45" s="135" t="str">
        <f>IF(N45=3,VLOOKUP(3,B43:K45,5,0),"")</f>
        <v>CARLES SÁNCHEZ TRIGUEROS</v>
      </c>
      <c r="AD45" s="138">
        <f>IF(N45=3,VLOOKUP(3,B43:K45,6,0),"")</f>
        <v>38</v>
      </c>
      <c r="AE45" s="138">
        <f>IF(N45=3,VLOOKUP(3,B43:K45,7,0),"")</f>
        <v>97</v>
      </c>
      <c r="AF45" s="139">
        <f>IF(N45=3,VLOOKUP(3,B43:K45,8,0),"")</f>
        <v>0.3917525773195876</v>
      </c>
      <c r="AG45" s="138">
        <f>IF(N45=3,VLOOKUP(3,B43:K45,9,0),"")</f>
        <v>4</v>
      </c>
      <c r="AH45" s="138">
        <f>IF(N45=3,VLOOKUP(3,B43:K45,10,0),"")</f>
        <v>0</v>
      </c>
      <c r="AU45" s="142"/>
      <c r="AV45" s="142"/>
      <c r="AW45" s="142"/>
      <c r="AX45" s="142"/>
      <c r="AY45" s="142"/>
      <c r="AZ45" s="142"/>
    </row>
    <row r="46" spans="2:62" s="90" customFormat="1" ht="12.75" thickTop="1">
      <c r="B46" s="179"/>
      <c r="I46" s="180">
        <f>MAX(I43:I45)</f>
        <v>0.6451612903225806</v>
      </c>
      <c r="J46" s="179"/>
      <c r="K46" s="179">
        <f>SUM(K43:K45)</f>
        <v>6</v>
      </c>
      <c r="L46" s="179" t="e">
        <f>MODE(K43:K45)</f>
        <v>#N/A</v>
      </c>
      <c r="M46" s="109"/>
      <c r="N46" s="133"/>
      <c r="O46" s="135"/>
      <c r="P46" s="133"/>
      <c r="Q46" s="133"/>
      <c r="R46" s="133"/>
      <c r="S46" s="133"/>
      <c r="T46" s="133"/>
      <c r="U46" s="136"/>
      <c r="V46" s="135"/>
      <c r="W46" s="133"/>
      <c r="X46" s="133"/>
      <c r="Y46" s="133"/>
      <c r="Z46" s="133"/>
      <c r="AA46" s="133"/>
      <c r="AB46" s="136"/>
      <c r="AC46" s="135"/>
      <c r="AD46" s="133"/>
      <c r="AE46" s="133"/>
      <c r="AF46" s="133"/>
      <c r="AG46" s="133"/>
      <c r="AH46" s="133"/>
      <c r="AI46" s="132"/>
      <c r="AJ46" s="143"/>
      <c r="AK46" s="141"/>
      <c r="AL46" s="89"/>
      <c r="AM46" s="89"/>
      <c r="AN46" s="89"/>
      <c r="AO46" s="89"/>
      <c r="AP46" s="89"/>
      <c r="AQ46" s="89"/>
      <c r="AR46" s="132"/>
      <c r="AS46" s="143"/>
      <c r="AT46" s="141"/>
      <c r="AU46" s="142"/>
      <c r="AV46" s="142"/>
      <c r="AW46" s="142"/>
      <c r="AX46" s="142"/>
      <c r="AY46" s="142"/>
      <c r="AZ46" s="142"/>
      <c r="BA46" s="136"/>
      <c r="BB46" s="143"/>
      <c r="BC46" s="141"/>
      <c r="BD46" s="89"/>
      <c r="BE46" s="89"/>
      <c r="BF46" s="89"/>
      <c r="BG46" s="89"/>
      <c r="BH46" s="89"/>
      <c r="BI46" s="89"/>
      <c r="BJ46" s="136"/>
    </row>
    <row r="47" spans="47:52" ht="12">
      <c r="AU47" s="142"/>
      <c r="AV47" s="142"/>
      <c r="AW47" s="142"/>
      <c r="AX47" s="142"/>
      <c r="AY47" s="142"/>
      <c r="AZ47" s="142"/>
    </row>
    <row r="48" spans="6:61" ht="12.75" thickBot="1">
      <c r="F48" s="89" t="s">
        <v>262</v>
      </c>
      <c r="G48" s="89" t="s">
        <v>263</v>
      </c>
      <c r="H48" s="89" t="s">
        <v>264</v>
      </c>
      <c r="I48" s="89" t="s">
        <v>309</v>
      </c>
      <c r="J48" s="89" t="s">
        <v>266</v>
      </c>
      <c r="K48" s="89" t="s">
        <v>301</v>
      </c>
      <c r="AL48" s="90"/>
      <c r="AM48" s="90"/>
      <c r="AN48" s="90"/>
      <c r="AO48" s="90"/>
      <c r="AP48" s="90"/>
      <c r="AQ48" s="90"/>
      <c r="AU48" s="141"/>
      <c r="AV48" s="141"/>
      <c r="AW48" s="141"/>
      <c r="AX48" s="141"/>
      <c r="AY48" s="141"/>
      <c r="AZ48" s="141"/>
      <c r="BD48" s="90"/>
      <c r="BE48" s="90"/>
      <c r="BF48" s="90"/>
      <c r="BG48" s="90"/>
      <c r="BH48" s="90"/>
      <c r="BI48" s="90"/>
    </row>
    <row r="49" spans="3:52" ht="15.75" customHeight="1" thickTop="1">
      <c r="C49" s="646" t="str">
        <f>'Fase Grups'!K5</f>
        <v>G</v>
      </c>
      <c r="D49" s="123">
        <f>'Fase Grups'!$N$13</f>
        <v>0.3958333333333333</v>
      </c>
      <c r="E49" s="91" t="str">
        <f>C58</f>
        <v>G2</v>
      </c>
      <c r="F49" s="92" t="str">
        <f aca="true" t="shared" si="3" ref="F49:F54">VLOOKUP(E49,$C$57:$F$59,4,1)</f>
        <v>JORDI ARMENGOL BERTRÁN</v>
      </c>
      <c r="G49" s="93">
        <v>19</v>
      </c>
      <c r="H49" s="639">
        <v>50</v>
      </c>
      <c r="I49" s="94">
        <f>IF(H49="","",G49/H49)</f>
        <v>0.38</v>
      </c>
      <c r="J49" s="93">
        <v>3</v>
      </c>
      <c r="K49" s="95">
        <f>IF(H49="","",IF(G49&lt;G50,0,IF(G49&gt;G50,2,1)))</f>
        <v>0</v>
      </c>
      <c r="L49" s="96"/>
      <c r="AU49" s="142"/>
      <c r="AV49" s="142"/>
      <c r="AW49" s="142"/>
      <c r="AX49" s="142"/>
      <c r="AY49" s="142"/>
      <c r="AZ49" s="142"/>
    </row>
    <row r="50" spans="3:61" ht="15.75" customHeight="1" thickBot="1">
      <c r="C50" s="647"/>
      <c r="D50" s="124" t="str">
        <f>CONCATENATE("Mesa ",'Fase Grups'!$V$12)</f>
        <v>Mesa 4</v>
      </c>
      <c r="E50" s="97" t="str">
        <f>C59</f>
        <v>G3</v>
      </c>
      <c r="F50" s="98" t="str">
        <f t="shared" si="3"/>
        <v>VALENTÍN CARRILLO LETONA</v>
      </c>
      <c r="G50" s="99">
        <v>26</v>
      </c>
      <c r="H50" s="640"/>
      <c r="I50" s="100">
        <f>IF(H49="","",G50/H49)</f>
        <v>0.52</v>
      </c>
      <c r="J50" s="99">
        <v>2</v>
      </c>
      <c r="K50" s="101">
        <f>IF(H49="","",IF(G50&lt;G49,0,IF(G50&gt;G49,2,1)))</f>
        <v>2</v>
      </c>
      <c r="L50" s="96"/>
      <c r="AL50" s="90"/>
      <c r="AM50" s="90"/>
      <c r="AN50" s="90"/>
      <c r="AO50" s="90"/>
      <c r="AP50" s="90"/>
      <c r="AQ50" s="90"/>
      <c r="AU50" s="141"/>
      <c r="AV50" s="141"/>
      <c r="AW50" s="141"/>
      <c r="AX50" s="141"/>
      <c r="AY50" s="141"/>
      <c r="AZ50" s="141"/>
      <c r="BD50" s="90"/>
      <c r="BE50" s="90"/>
      <c r="BF50" s="90"/>
      <c r="BG50" s="90"/>
      <c r="BH50" s="90"/>
      <c r="BI50" s="90"/>
    </row>
    <row r="51" spans="3:52" ht="15.75" customHeight="1" thickTop="1">
      <c r="C51" s="647"/>
      <c r="D51" s="123">
        <v>0.5208333333333334</v>
      </c>
      <c r="E51" s="91" t="str">
        <f>C57</f>
        <v>G1</v>
      </c>
      <c r="F51" s="92" t="str">
        <f t="shared" si="3"/>
        <v>JOSEP BARGALLÓ JAUME</v>
      </c>
      <c r="G51" s="93">
        <v>30</v>
      </c>
      <c r="H51" s="639">
        <v>47</v>
      </c>
      <c r="I51" s="94">
        <f>IF(H51="","",G51/H51)</f>
        <v>0.6382978723404256</v>
      </c>
      <c r="J51" s="93">
        <v>3</v>
      </c>
      <c r="K51" s="95">
        <f>IF(H51="","",IF(G51&lt;G52,0,IF(G51&gt;G52,2,1)))</f>
        <v>2</v>
      </c>
      <c r="L51" s="96"/>
      <c r="AU51" s="142"/>
      <c r="AV51" s="142"/>
      <c r="AW51" s="142"/>
      <c r="AX51" s="142"/>
      <c r="AY51" s="142"/>
      <c r="AZ51" s="142"/>
    </row>
    <row r="52" spans="3:52" ht="15.75" customHeight="1" thickBot="1">
      <c r="C52" s="647"/>
      <c r="D52" s="197" t="s">
        <v>307</v>
      </c>
      <c r="E52" s="102" t="str">
        <f>C58</f>
        <v>G2</v>
      </c>
      <c r="F52" s="103" t="str">
        <f t="shared" si="3"/>
        <v>JORDI ARMENGOL BERTRÁN</v>
      </c>
      <c r="G52" s="99">
        <v>14</v>
      </c>
      <c r="H52" s="640"/>
      <c r="I52" s="100">
        <f>IF(H51="","",G52/H51)</f>
        <v>0.2978723404255319</v>
      </c>
      <c r="J52" s="99">
        <v>3</v>
      </c>
      <c r="K52" s="101">
        <f>IF(H51="","",IF(G52&lt;G51,0,IF(G52&gt;G51,2,1)))</f>
        <v>0</v>
      </c>
      <c r="L52" s="96"/>
      <c r="AU52" s="142"/>
      <c r="AV52" s="142"/>
      <c r="AW52" s="142"/>
      <c r="AX52" s="142"/>
      <c r="AY52" s="142"/>
      <c r="AZ52" s="142"/>
    </row>
    <row r="53" spans="3:52" ht="15.75" customHeight="1" thickTop="1">
      <c r="C53" s="647"/>
      <c r="D53" s="123">
        <v>0.7291666666666666</v>
      </c>
      <c r="E53" s="104" t="str">
        <f>C57</f>
        <v>G1</v>
      </c>
      <c r="F53" s="105" t="str">
        <f t="shared" si="3"/>
        <v>JOSEP BARGALLÓ JAUME</v>
      </c>
      <c r="G53" s="93">
        <v>30</v>
      </c>
      <c r="H53" s="639">
        <v>50</v>
      </c>
      <c r="I53" s="94">
        <f>IF(H53="","",G53/H53)</f>
        <v>0.6</v>
      </c>
      <c r="J53" s="93">
        <v>4</v>
      </c>
      <c r="K53" s="95">
        <f>IF(H53="","",IF(G53&lt;G54,0,IF(G53&gt;G54,2,1)))</f>
        <v>2</v>
      </c>
      <c r="L53" s="96"/>
      <c r="AU53" s="142"/>
      <c r="AV53" s="142"/>
      <c r="AW53" s="142"/>
      <c r="AX53" s="142"/>
      <c r="AY53" s="142"/>
      <c r="AZ53" s="142"/>
    </row>
    <row r="54" spans="3:52" ht="15.75" customHeight="1" thickBot="1">
      <c r="C54" s="648"/>
      <c r="D54" s="197" t="s">
        <v>307</v>
      </c>
      <c r="E54" s="102" t="str">
        <f>C59</f>
        <v>G3</v>
      </c>
      <c r="F54" s="103" t="str">
        <f t="shared" si="3"/>
        <v>VALENTÍN CARRILLO LETONA</v>
      </c>
      <c r="G54" s="106">
        <v>12</v>
      </c>
      <c r="H54" s="640"/>
      <c r="I54" s="107">
        <f>IF(H53="","",G54/H53)</f>
        <v>0.24</v>
      </c>
      <c r="J54" s="106">
        <v>2</v>
      </c>
      <c r="K54" s="108">
        <f>IF(H53="","",IF(G54&lt;G53,0,IF(G54&gt;G53,2,1)))</f>
        <v>0</v>
      </c>
      <c r="L54" s="96"/>
      <c r="AU54" s="142"/>
      <c r="AV54" s="142"/>
      <c r="AW54" s="142"/>
      <c r="AX54" s="142"/>
      <c r="AY54" s="142"/>
      <c r="AZ54" s="142"/>
    </row>
    <row r="55" spans="2:62" s="90" customFormat="1" ht="12">
      <c r="B55" s="179"/>
      <c r="G55" s="179">
        <f>SUM(G49:G54)</f>
        <v>131</v>
      </c>
      <c r="M55" s="109"/>
      <c r="N55" s="133"/>
      <c r="O55" s="135"/>
      <c r="P55" s="133"/>
      <c r="Q55" s="133"/>
      <c r="R55" s="133"/>
      <c r="S55" s="133"/>
      <c r="T55" s="133"/>
      <c r="U55" s="136"/>
      <c r="V55" s="135"/>
      <c r="W55" s="133"/>
      <c r="X55" s="133"/>
      <c r="Y55" s="133"/>
      <c r="Z55" s="133"/>
      <c r="AA55" s="133"/>
      <c r="AB55" s="136"/>
      <c r="AC55" s="135"/>
      <c r="AD55" s="133"/>
      <c r="AE55" s="133"/>
      <c r="AF55" s="133"/>
      <c r="AG55" s="133"/>
      <c r="AH55" s="133"/>
      <c r="AI55" s="132"/>
      <c r="AJ55" s="143"/>
      <c r="AK55" s="141"/>
      <c r="AL55" s="89"/>
      <c r="AM55" s="89"/>
      <c r="AN55" s="89"/>
      <c r="AO55" s="89"/>
      <c r="AP55" s="89"/>
      <c r="AQ55" s="89"/>
      <c r="AR55" s="132"/>
      <c r="AS55" s="143"/>
      <c r="AT55" s="141"/>
      <c r="AU55" s="142"/>
      <c r="AV55" s="142"/>
      <c r="AW55" s="142"/>
      <c r="AX55" s="142"/>
      <c r="AY55" s="142"/>
      <c r="AZ55" s="142"/>
      <c r="BA55" s="136"/>
      <c r="BB55" s="143"/>
      <c r="BC55" s="141"/>
      <c r="BD55" s="89"/>
      <c r="BE55" s="89"/>
      <c r="BF55" s="89"/>
      <c r="BG55" s="89"/>
      <c r="BH55" s="89"/>
      <c r="BI55" s="89"/>
      <c r="BJ55" s="136"/>
    </row>
    <row r="56" spans="2:52" ht="12.75" thickBot="1">
      <c r="B56" s="179" t="s">
        <v>271</v>
      </c>
      <c r="D56" s="119" t="s">
        <v>268</v>
      </c>
      <c r="E56" s="173" t="str">
        <f>C49</f>
        <v>G</v>
      </c>
      <c r="F56" s="89" t="s">
        <v>262</v>
      </c>
      <c r="G56" s="89" t="s">
        <v>263</v>
      </c>
      <c r="H56" s="89" t="s">
        <v>264</v>
      </c>
      <c r="I56" s="89" t="s">
        <v>309</v>
      </c>
      <c r="J56" s="89" t="s">
        <v>266</v>
      </c>
      <c r="K56" s="89" t="s">
        <v>301</v>
      </c>
      <c r="L56" s="89" t="s">
        <v>269</v>
      </c>
      <c r="M56" s="109" t="s">
        <v>272</v>
      </c>
      <c r="N56" s="133" t="s">
        <v>270</v>
      </c>
      <c r="AU56" s="142"/>
      <c r="AV56" s="142"/>
      <c r="AW56" s="142"/>
      <c r="AX56" s="142"/>
      <c r="AY56" s="142"/>
      <c r="AZ56" s="142"/>
    </row>
    <row r="57" spans="2:52" ht="18" thickTop="1">
      <c r="B57" s="179">
        <f>N57</f>
        <v>1</v>
      </c>
      <c r="C57" s="179" t="str">
        <f>CONCATENATE(C49,E57)</f>
        <v>G1</v>
      </c>
      <c r="D57" s="91">
        <v>23</v>
      </c>
      <c r="E57" s="93">
        <v>1</v>
      </c>
      <c r="F57" s="92" t="str">
        <f>IF(D57="","",VLOOKUP(D57,'Ranquing Inicial'!$B$6:$V$69,2,0))</f>
        <v>JOSEP BARGALLÓ JAUME</v>
      </c>
      <c r="G57" s="93">
        <f>SUM(G51,G53)</f>
        <v>60</v>
      </c>
      <c r="H57" s="93">
        <f>SUM(H51,H53)</f>
        <v>97</v>
      </c>
      <c r="I57" s="111">
        <f>IF(H57="","",G57/H57)</f>
        <v>0.6185567010309279</v>
      </c>
      <c r="J57" s="93">
        <f>MAX(J51,J53)</f>
        <v>4</v>
      </c>
      <c r="K57" s="95">
        <f>SUM(K51,K53)</f>
        <v>4</v>
      </c>
      <c r="L57" s="200" t="str">
        <f>IF(ISERROR(I57),"",N57&amp;"º")</f>
        <v>1º</v>
      </c>
      <c r="M57" s="112">
        <f>IF(ISERROR(I57),"",SUM(K57,I57/1000,J57/1000000))</f>
        <v>4.000622556701031</v>
      </c>
      <c r="N57" s="133">
        <f>IF(ISERROR(I57),"",RANK(M57,M57:M59))</f>
        <v>1</v>
      </c>
      <c r="O57" s="137" t="str">
        <f>IF(N57=1,VLOOKUP(1,B57:K59,5,0),"")</f>
        <v>JOSEP BARGALLÓ JAUME</v>
      </c>
      <c r="P57" s="138">
        <f>IF(N57=1,VLOOKUP(1,B57:K59,6,0),"")</f>
        <v>60</v>
      </c>
      <c r="Q57" s="138">
        <f>IF(N57=1,VLOOKUP(1,B57:K59,7,0),"")</f>
        <v>97</v>
      </c>
      <c r="R57" s="139">
        <f>IF(N57=1,VLOOKUP(1,B57:K59,8,0),"")</f>
        <v>0.6185567010309279</v>
      </c>
      <c r="S57" s="138">
        <f>IF(N57=1,VLOOKUP(1,B57:K59,9,0),"")</f>
        <v>4</v>
      </c>
      <c r="T57" s="138">
        <f>IF(N57=1,VLOOKUP(1,B57:K59,10,0),"")</f>
        <v>4</v>
      </c>
      <c r="V57" s="137">
        <f>IF(N57=2,VLOOKUP(2,B57:K59,5,0),"")</f>
      </c>
      <c r="W57" s="138">
        <f>IF(N57=2,VLOOKUP(2,B57:K59,6,0),"")</f>
      </c>
      <c r="X57" s="138">
        <f>IF(N57=2,VLOOKUP(2,B57:K59,7,0),"")</f>
      </c>
      <c r="Y57" s="139">
        <f>IF(N57=2,VLOOKUP(2,B57:K59,8,0),"")</f>
      </c>
      <c r="Z57" s="138">
        <f>IF(N57=2,VLOOKUP(2,B57:K59,9,0),"")</f>
      </c>
      <c r="AA57" s="138">
        <f>IF(N57=2,VLOOKUP(2,$B$15:$K$17,10,0),"")</f>
      </c>
      <c r="AC57" s="135">
        <f>IF(N57=3,VLOOKUP(3,B57:K59,5,0),"")</f>
      </c>
      <c r="AD57" s="138">
        <f>IF(N57=3,VLOOKUP(3,B57:K59,6,0),"")</f>
      </c>
      <c r="AE57" s="138">
        <f>IF(N57=3,VLOOKUP(3,B57:K59,7,0),"")</f>
      </c>
      <c r="AF57" s="139">
        <f>IF(N57=3,VLOOKUP(3,B57:K59,8,0),"")</f>
      </c>
      <c r="AG57" s="138">
        <f>IF(N57=3,VLOOKUP(3,B57:K59,9,0),"")</f>
      </c>
      <c r="AH57" s="138">
        <f>IF(N57=3,VLOOKUP(3,B57:K59,10,0),"")</f>
      </c>
      <c r="AU57" s="142"/>
      <c r="AV57" s="142"/>
      <c r="AW57" s="142"/>
      <c r="AX57" s="142"/>
      <c r="AY57" s="142"/>
      <c r="AZ57" s="142"/>
    </row>
    <row r="58" spans="2:52" ht="16.5">
      <c r="B58" s="179">
        <f>N58</f>
        <v>3</v>
      </c>
      <c r="C58" s="179" t="str">
        <f>CONCATENATE(C49,E58)</f>
        <v>G2</v>
      </c>
      <c r="D58" s="113">
        <v>42</v>
      </c>
      <c r="E58" s="114">
        <v>2</v>
      </c>
      <c r="F58" s="115" t="str">
        <f>IF(D58="","",VLOOKUP(D58,'Ranquing Inicial'!$B$6:$V$69,2,0))</f>
        <v>JORDI ARMENGOL BERTRÁN</v>
      </c>
      <c r="G58" s="114">
        <f>SUM(G49,G52)</f>
        <v>33</v>
      </c>
      <c r="H58" s="114">
        <f>SUM(H49,H51)</f>
        <v>97</v>
      </c>
      <c r="I58" s="116">
        <f>IF(H58="","",G58/H58)</f>
        <v>0.3402061855670103</v>
      </c>
      <c r="J58" s="114">
        <f>MAX(J49,J52)</f>
        <v>3</v>
      </c>
      <c r="K58" s="117">
        <f>SUM(K49,K52)</f>
        <v>0</v>
      </c>
      <c r="L58" s="199" t="str">
        <f>IF(ISERROR(I58),"",N58&amp;"º")</f>
        <v>3º</v>
      </c>
      <c r="M58" s="112">
        <f>IF(ISERROR(I58),"",SUM(K58,I58/1000,J58/1000000))</f>
        <v>0.00034320618556701036</v>
      </c>
      <c r="N58" s="133">
        <f>IF(ISERROR(I58),"",RANK(M58,M57:M59))</f>
        <v>3</v>
      </c>
      <c r="O58" s="137">
        <f>IF(N58=1,VLOOKUP(1,B57:K59,5,0),"")</f>
      </c>
      <c r="P58" s="138">
        <f>IF(N58=1,VLOOKUP(1,B57:K59,6,0),"")</f>
      </c>
      <c r="Q58" s="138">
        <f>IF(N58=1,VLOOKUP(1,B57:K59,7,0),"")</f>
      </c>
      <c r="R58" s="139">
        <f>IF(N58=1,VLOOKUP(1,B57:K59,8,0),"")</f>
      </c>
      <c r="S58" s="138">
        <f>IF(N58=1,VLOOKUP(1,B57:K59,9,0),"")</f>
      </c>
      <c r="T58" s="138">
        <f>IF(N58=1,VLOOKUP(1,B57:K59,10,0),"")</f>
      </c>
      <c r="V58" s="137">
        <f>IF(N58=2,VLOOKUP(2,B57:K59,5,0),"")</f>
      </c>
      <c r="W58" s="138">
        <f>IF(N58=2,VLOOKUP(2,B57:K59,6,0),"")</f>
      </c>
      <c r="X58" s="138">
        <f>IF(N58=2,VLOOKUP(2,B57:K59,7,0),"")</f>
      </c>
      <c r="Y58" s="139">
        <f>IF(N58=2,VLOOKUP(2,B57:$K59,8,0),"")</f>
      </c>
      <c r="Z58" s="138">
        <f>IF(N58=2,VLOOKUP(2,B57:K59,9,0),"")</f>
      </c>
      <c r="AA58" s="138">
        <f>IF(N58=2,VLOOKUP(2,B57:K59,10,0),"")</f>
      </c>
      <c r="AC58" s="135" t="str">
        <f>IF(N58=3,VLOOKUP(3,B57:K59,5,0),"")</f>
        <v>JORDI ARMENGOL BERTRÁN</v>
      </c>
      <c r="AD58" s="138">
        <f>IF(N58=3,VLOOKUP(3,B57:K59,6,0),"")</f>
        <v>33</v>
      </c>
      <c r="AE58" s="138">
        <f>IF(N58=3,VLOOKUP(3,B57:K59,7,0),"")</f>
        <v>97</v>
      </c>
      <c r="AF58" s="139">
        <f>IF(N58=3,VLOOKUP(3,B57:K59,8,0),"")</f>
        <v>0.3402061855670103</v>
      </c>
      <c r="AG58" s="138">
        <f>IF(N58=3,VLOOKUP(3,B57:K59,9,0),"")</f>
        <v>3</v>
      </c>
      <c r="AH58" s="138">
        <f>IF(N58=3,VLOOKUP(3,B57:K59,10,0),"")</f>
        <v>0</v>
      </c>
      <c r="AU58" s="142"/>
      <c r="AV58" s="142"/>
      <c r="AW58" s="142"/>
      <c r="AX58" s="142"/>
      <c r="AY58" s="142"/>
      <c r="AZ58" s="142"/>
    </row>
    <row r="59" spans="2:61" ht="18" thickBot="1">
      <c r="B59" s="179">
        <f>N59</f>
        <v>2</v>
      </c>
      <c r="C59" s="179" t="str">
        <f>CONCATENATE(C49,E59)</f>
        <v>G3</v>
      </c>
      <c r="D59" s="102">
        <v>58</v>
      </c>
      <c r="E59" s="106">
        <v>3</v>
      </c>
      <c r="F59" s="103" t="str">
        <f>IF(D59="","",VLOOKUP(D59,'Ranquing Inicial'!$B$6:$V$69,2,0))</f>
        <v>VALENTÍN CARRILLO LETONA</v>
      </c>
      <c r="G59" s="106">
        <f>SUM(G50,G54)</f>
        <v>38</v>
      </c>
      <c r="H59" s="106">
        <f>SUM(H49,H53)</f>
        <v>100</v>
      </c>
      <c r="I59" s="118">
        <f>IF(H59="","",G59/H59)</f>
        <v>0.38</v>
      </c>
      <c r="J59" s="106">
        <f>MAX(J50,J54)</f>
        <v>2</v>
      </c>
      <c r="K59" s="108">
        <f>SUM(K50,K54)</f>
        <v>2</v>
      </c>
      <c r="L59" s="201" t="str">
        <f>IF(ISERROR(I59),"",N59&amp;"º")</f>
        <v>2º</v>
      </c>
      <c r="M59" s="112">
        <f>IF(ISERROR(I59),"",SUM(K59,I59/1000,J59/1000000))</f>
        <v>2.0003819999999997</v>
      </c>
      <c r="N59" s="133">
        <f>IF(ISERROR(I59),"",RANK(M59,M57:M59))</f>
        <v>2</v>
      </c>
      <c r="O59" s="137">
        <f>IF(N59=1,VLOOKUP(1,B57:K59,5,0),"")</f>
      </c>
      <c r="P59" s="138">
        <f>IF(N59=1,VLOOKUP(1,B57:K59,6,0),"")</f>
      </c>
      <c r="Q59" s="138">
        <f>IF(N59=1,VLOOKUP(1,B57:K59,7,0),"")</f>
      </c>
      <c r="R59" s="139">
        <f>IF(N59=1,VLOOKUP(1,B57:K59,8,0),"")</f>
      </c>
      <c r="S59" s="138">
        <f>IF(N59=1,VLOOKUP(1,B57:K59,9,0),"")</f>
      </c>
      <c r="T59" s="138">
        <f>IF(N59=1,VLOOKUP(1,B57:K59,10,0),"")</f>
      </c>
      <c r="V59" s="135" t="str">
        <f>IF(N59=2,VLOOKUP(2,B57:K59,5,0),"")</f>
        <v>VALENTÍN CARRILLO LETONA</v>
      </c>
      <c r="W59" s="138">
        <f>IF(N59=2,VLOOKUP(2,B57:K59,6,0),"")</f>
        <v>38</v>
      </c>
      <c r="X59" s="138">
        <f>IF(N59=2,VLOOKUP(2,B57:K59,7,0),"")</f>
        <v>100</v>
      </c>
      <c r="Y59" s="139">
        <f>IF(N59=2,VLOOKUP(2,B57:K59,8,0),"")</f>
        <v>0.38</v>
      </c>
      <c r="Z59" s="138">
        <f>IF(N59=2,VLOOKUP(2,B57:K59,9,0),"")</f>
        <v>2</v>
      </c>
      <c r="AA59" s="138">
        <f>IF(N59=2,VLOOKUP(2,B57:K59,10,0),"")</f>
        <v>2</v>
      </c>
      <c r="AC59" s="135">
        <f>IF(N59=3,VLOOKUP(3,B57:K59,5,0),"")</f>
      </c>
      <c r="AD59" s="138">
        <f>IF(N59=3,VLOOKUP(3,B57:K59,6,0),"")</f>
      </c>
      <c r="AE59" s="138">
        <f>IF(N59=3,VLOOKUP(3,B57:K59,7,0),"")</f>
      </c>
      <c r="AF59" s="139">
        <f>IF(N59=3,VLOOKUP(3,B57:K59,8,0),"")</f>
      </c>
      <c r="AG59" s="138">
        <f>IF(N59=3,VLOOKUP(3,B57:K59,9,0),"")</f>
      </c>
      <c r="AH59" s="138">
        <f>IF(N59=3,VLOOKUP(3,B57:K59,10,0),"")</f>
      </c>
      <c r="AL59" s="90"/>
      <c r="AM59" s="90"/>
      <c r="AN59" s="90"/>
      <c r="AO59" s="90"/>
      <c r="AP59" s="90"/>
      <c r="AQ59" s="90"/>
      <c r="AU59" s="141"/>
      <c r="AV59" s="141"/>
      <c r="AW59" s="141"/>
      <c r="AX59" s="141"/>
      <c r="AY59" s="141"/>
      <c r="AZ59" s="141"/>
      <c r="BD59" s="90"/>
      <c r="BE59" s="90"/>
      <c r="BF59" s="90"/>
      <c r="BG59" s="90"/>
      <c r="BH59" s="90"/>
      <c r="BI59" s="90"/>
    </row>
    <row r="60" spans="3:52" ht="11.25" customHeight="1" thickTop="1">
      <c r="C60" s="90"/>
      <c r="D60" s="90"/>
      <c r="E60" s="90"/>
      <c r="F60" s="90"/>
      <c r="G60" s="90"/>
      <c r="H60" s="90"/>
      <c r="I60" s="180">
        <f>MAX(I57:I59)</f>
        <v>0.6185567010309279</v>
      </c>
      <c r="J60" s="179"/>
      <c r="K60" s="179">
        <f>SUM(K57:K59)</f>
        <v>6</v>
      </c>
      <c r="L60" s="179" t="e">
        <f>MODE(K57:K59)</f>
        <v>#N/A</v>
      </c>
      <c r="AU60" s="142"/>
      <c r="AV60" s="142"/>
      <c r="AW60" s="142"/>
      <c r="AX60" s="142"/>
      <c r="AY60" s="142"/>
      <c r="AZ60" s="142"/>
    </row>
    <row r="61" spans="2:62" s="142" customFormat="1" ht="9" customHeight="1">
      <c r="B61" s="181"/>
      <c r="M61" s="232"/>
      <c r="N61" s="183"/>
      <c r="O61" s="182"/>
      <c r="P61" s="183"/>
      <c r="Q61" s="183"/>
      <c r="R61" s="183"/>
      <c r="S61" s="183"/>
      <c r="T61" s="183"/>
      <c r="U61" s="182"/>
      <c r="V61" s="182"/>
      <c r="W61" s="183"/>
      <c r="X61" s="183"/>
      <c r="Y61" s="183"/>
      <c r="Z61" s="183"/>
      <c r="AA61" s="183"/>
      <c r="AB61" s="182"/>
      <c r="AC61" s="182"/>
      <c r="AD61" s="183"/>
      <c r="AE61" s="183"/>
      <c r="AF61" s="183"/>
      <c r="AG61" s="183"/>
      <c r="AH61" s="183"/>
      <c r="AI61" s="143"/>
      <c r="AJ61" s="143"/>
      <c r="AK61" s="141"/>
      <c r="AL61" s="141"/>
      <c r="AM61" s="141"/>
      <c r="AN61" s="141"/>
      <c r="AO61" s="141"/>
      <c r="AP61" s="141"/>
      <c r="AQ61" s="141"/>
      <c r="AR61" s="143"/>
      <c r="AS61" s="143"/>
      <c r="AT61" s="141"/>
      <c r="AU61" s="141"/>
      <c r="AV61" s="141"/>
      <c r="AW61" s="141"/>
      <c r="AX61" s="141"/>
      <c r="AY61" s="141"/>
      <c r="AZ61" s="141"/>
      <c r="BA61" s="182"/>
      <c r="BB61" s="143"/>
      <c r="BC61" s="141"/>
      <c r="BD61" s="141"/>
      <c r="BE61" s="141"/>
      <c r="BF61" s="141"/>
      <c r="BG61" s="141"/>
      <c r="BH61" s="141"/>
      <c r="BI61" s="141"/>
      <c r="BJ61" s="182"/>
    </row>
    <row r="62" spans="3:52" ht="12.75" thickBot="1">
      <c r="C62" s="142"/>
      <c r="D62" s="142"/>
      <c r="E62" s="142"/>
      <c r="F62" s="142" t="s">
        <v>262</v>
      </c>
      <c r="G62" s="142" t="s">
        <v>263</v>
      </c>
      <c r="H62" s="142" t="s">
        <v>264</v>
      </c>
      <c r="I62" s="89" t="s">
        <v>309</v>
      </c>
      <c r="J62" s="142" t="s">
        <v>266</v>
      </c>
      <c r="K62" s="89" t="s">
        <v>301</v>
      </c>
      <c r="L62" s="142"/>
      <c r="AU62" s="142"/>
      <c r="AV62" s="142"/>
      <c r="AW62" s="142"/>
      <c r="AX62" s="142"/>
      <c r="AY62" s="142"/>
      <c r="AZ62" s="142"/>
    </row>
    <row r="63" spans="3:52" ht="15.75" customHeight="1" thickTop="1">
      <c r="C63" s="646" t="str">
        <f>'Fase Grups'!M5</f>
        <v>I</v>
      </c>
      <c r="D63" s="123">
        <f>'Fase Grups'!$N$14</f>
        <v>0.4583333333333333</v>
      </c>
      <c r="E63" s="91" t="str">
        <f>C72</f>
        <v>I2</v>
      </c>
      <c r="F63" s="126" t="str">
        <f aca="true" t="shared" si="4" ref="F63:F68">VLOOKUP(E63,$C$71:$F$73,4,1)</f>
        <v>MANEL PARÉS HERRERA</v>
      </c>
      <c r="G63" s="120">
        <v>22</v>
      </c>
      <c r="H63" s="644">
        <v>50</v>
      </c>
      <c r="I63" s="94">
        <f>IF(H63="","",G63/H63)</f>
        <v>0.44</v>
      </c>
      <c r="J63" s="120">
        <v>3</v>
      </c>
      <c r="K63" s="95">
        <f>IF(H63="","",IF(G63&lt;G64,0,IF(G63&gt;G64,2,1)))</f>
        <v>2</v>
      </c>
      <c r="L63" s="96"/>
      <c r="AU63" s="142"/>
      <c r="AV63" s="142"/>
      <c r="AW63" s="142"/>
      <c r="AX63" s="142"/>
      <c r="AY63" s="142"/>
      <c r="AZ63" s="142"/>
    </row>
    <row r="64" spans="3:52" ht="15.75" customHeight="1" thickBot="1">
      <c r="C64" s="647"/>
      <c r="D64" s="124" t="str">
        <f>CONCATENATE("Mesa ",'Fase Grups'!$P$12)</f>
        <v>Mesa 1</v>
      </c>
      <c r="E64" s="97" t="str">
        <f>C73</f>
        <v>I3</v>
      </c>
      <c r="F64" s="127" t="str">
        <f t="shared" si="4"/>
        <v>LUIS NAVARRO DE LOS SANTOS</v>
      </c>
      <c r="G64" s="121">
        <v>15</v>
      </c>
      <c r="H64" s="645"/>
      <c r="I64" s="100">
        <f>IF(H63="","",G64/H63)</f>
        <v>0.3</v>
      </c>
      <c r="J64" s="121">
        <v>3</v>
      </c>
      <c r="K64" s="101">
        <f>IF(H63="","",IF(G64&lt;G63,0,IF(G64&gt;G63,2,1)))</f>
        <v>0</v>
      </c>
      <c r="L64" s="96"/>
      <c r="AU64" s="142"/>
      <c r="AV64" s="142"/>
      <c r="AW64" s="142"/>
      <c r="AX64" s="142"/>
      <c r="AY64" s="142"/>
      <c r="AZ64" s="142"/>
    </row>
    <row r="65" spans="3:52" ht="15.75" customHeight="1" thickTop="1">
      <c r="C65" s="647"/>
      <c r="D65" s="123">
        <v>0.7916666666666666</v>
      </c>
      <c r="E65" s="91" t="str">
        <f>C71</f>
        <v>I1</v>
      </c>
      <c r="F65" s="126" t="str">
        <f t="shared" si="4"/>
        <v>JOAN CARLES FONTANET BELLES</v>
      </c>
      <c r="G65" s="120">
        <v>30</v>
      </c>
      <c r="H65" s="644">
        <v>34</v>
      </c>
      <c r="I65" s="94">
        <f>IF(H65="","",G65/H65)</f>
        <v>0.8823529411764706</v>
      </c>
      <c r="J65" s="120">
        <v>5</v>
      </c>
      <c r="K65" s="95">
        <f>IF(H65="","",IF(G65&lt;G66,0,IF(G65&gt;G66,2,1)))</f>
        <v>2</v>
      </c>
      <c r="L65" s="96"/>
      <c r="AU65" s="142"/>
      <c r="AV65" s="142"/>
      <c r="AW65" s="142"/>
      <c r="AX65" s="142"/>
      <c r="AY65" s="142"/>
      <c r="AZ65" s="142"/>
    </row>
    <row r="66" spans="3:52" ht="15.75" customHeight="1" thickBot="1">
      <c r="C66" s="647"/>
      <c r="D66" s="197" t="s">
        <v>305</v>
      </c>
      <c r="E66" s="102" t="str">
        <f>C72</f>
        <v>I2</v>
      </c>
      <c r="F66" s="128" t="str">
        <f t="shared" si="4"/>
        <v>MANEL PARÉS HERRERA</v>
      </c>
      <c r="G66" s="121">
        <v>19</v>
      </c>
      <c r="H66" s="645"/>
      <c r="I66" s="100">
        <f>IF(H65="","",G66/H65)</f>
        <v>0.5588235294117647</v>
      </c>
      <c r="J66" s="121">
        <v>4</v>
      </c>
      <c r="K66" s="101">
        <f>IF(H65="","",IF(G66&lt;G65,0,IF(G66&gt;G65,2,1)))</f>
        <v>0</v>
      </c>
      <c r="L66" s="96"/>
      <c r="AU66" s="142"/>
      <c r="AV66" s="142"/>
      <c r="AW66" s="142"/>
      <c r="AX66" s="142"/>
      <c r="AY66" s="142"/>
      <c r="AZ66" s="142"/>
    </row>
    <row r="67" spans="3:52" ht="15.75" customHeight="1" thickTop="1">
      <c r="C67" s="647"/>
      <c r="D67" s="196">
        <v>0.6666666666666666</v>
      </c>
      <c r="E67" s="104" t="str">
        <f>C71</f>
        <v>I1</v>
      </c>
      <c r="F67" s="129" t="str">
        <f t="shared" si="4"/>
        <v>JOAN CARLES FONTANET BELLES</v>
      </c>
      <c r="G67" s="120">
        <v>30</v>
      </c>
      <c r="H67" s="644">
        <v>41</v>
      </c>
      <c r="I67" s="94">
        <f>IF(H67="","",G67/H67)</f>
        <v>0.7317073170731707</v>
      </c>
      <c r="J67" s="120">
        <v>4</v>
      </c>
      <c r="K67" s="95">
        <f>IF(H67="","",IF(G67&lt;G68,0,IF(G67&gt;G68,2,1)))</f>
        <v>2</v>
      </c>
      <c r="L67" s="96"/>
      <c r="AU67" s="142"/>
      <c r="AV67" s="142"/>
      <c r="AW67" s="142"/>
      <c r="AX67" s="142"/>
      <c r="AY67" s="142"/>
      <c r="AZ67" s="142"/>
    </row>
    <row r="68" spans="3:52" ht="15.75" customHeight="1" thickBot="1">
      <c r="C68" s="648"/>
      <c r="D68" s="197" t="s">
        <v>305</v>
      </c>
      <c r="E68" s="102" t="str">
        <f>C73</f>
        <v>I3</v>
      </c>
      <c r="F68" s="128" t="str">
        <f t="shared" si="4"/>
        <v>LUIS NAVARRO DE LOS SANTOS</v>
      </c>
      <c r="G68" s="122">
        <v>15</v>
      </c>
      <c r="H68" s="645"/>
      <c r="I68" s="107">
        <f>IF(H67="","",G68/H67)</f>
        <v>0.36585365853658536</v>
      </c>
      <c r="J68" s="122">
        <v>2</v>
      </c>
      <c r="K68" s="108">
        <f>IF(H67="","",IF(G68&lt;G67,0,IF(G68&gt;G67,2,1)))</f>
        <v>0</v>
      </c>
      <c r="L68" s="96"/>
      <c r="AU68" s="142"/>
      <c r="AV68" s="142"/>
      <c r="AW68" s="142"/>
      <c r="AX68" s="142"/>
      <c r="AY68" s="142"/>
      <c r="AZ68" s="142"/>
    </row>
    <row r="69" spans="2:62" s="90" customFormat="1" ht="12">
      <c r="B69" s="179"/>
      <c r="G69" s="179">
        <f>SUM(G63:G68)</f>
        <v>131</v>
      </c>
      <c r="M69" s="109"/>
      <c r="N69" s="133"/>
      <c r="O69" s="135"/>
      <c r="P69" s="133"/>
      <c r="Q69" s="133"/>
      <c r="R69" s="133"/>
      <c r="S69" s="133"/>
      <c r="T69" s="133"/>
      <c r="U69" s="136"/>
      <c r="V69" s="135"/>
      <c r="W69" s="133"/>
      <c r="X69" s="133"/>
      <c r="Y69" s="133"/>
      <c r="Z69" s="133"/>
      <c r="AA69" s="133"/>
      <c r="AB69" s="136"/>
      <c r="AC69" s="135"/>
      <c r="AD69" s="133"/>
      <c r="AE69" s="133"/>
      <c r="AF69" s="133"/>
      <c r="AG69" s="133"/>
      <c r="AH69" s="133"/>
      <c r="AI69" s="132"/>
      <c r="AJ69" s="143"/>
      <c r="AK69" s="141"/>
      <c r="AL69" s="89"/>
      <c r="AM69" s="89"/>
      <c r="AN69" s="89"/>
      <c r="AO69" s="89"/>
      <c r="AP69" s="89"/>
      <c r="AQ69" s="89"/>
      <c r="AR69" s="132"/>
      <c r="AS69" s="143"/>
      <c r="AT69" s="141"/>
      <c r="AU69" s="142"/>
      <c r="AV69" s="142"/>
      <c r="AW69" s="142"/>
      <c r="AX69" s="142"/>
      <c r="AY69" s="142"/>
      <c r="AZ69" s="142"/>
      <c r="BA69" s="136"/>
      <c r="BB69" s="143"/>
      <c r="BC69" s="141"/>
      <c r="BD69" s="89"/>
      <c r="BE69" s="89"/>
      <c r="BF69" s="89"/>
      <c r="BG69" s="89"/>
      <c r="BH69" s="89"/>
      <c r="BI69" s="89"/>
      <c r="BJ69" s="136"/>
    </row>
    <row r="70" spans="2:61" ht="12.75" thickBot="1">
      <c r="B70" s="179" t="s">
        <v>271</v>
      </c>
      <c r="D70" s="119" t="s">
        <v>268</v>
      </c>
      <c r="E70" s="173" t="str">
        <f>C63</f>
        <v>I</v>
      </c>
      <c r="F70" s="89" t="s">
        <v>262</v>
      </c>
      <c r="G70" s="89" t="s">
        <v>263</v>
      </c>
      <c r="H70" s="89" t="s">
        <v>264</v>
      </c>
      <c r="I70" s="89" t="s">
        <v>309</v>
      </c>
      <c r="J70" s="89" t="s">
        <v>266</v>
      </c>
      <c r="K70" s="89" t="s">
        <v>301</v>
      </c>
      <c r="L70" s="89" t="s">
        <v>269</v>
      </c>
      <c r="M70" s="109" t="s">
        <v>272</v>
      </c>
      <c r="N70" s="133" t="s">
        <v>270</v>
      </c>
      <c r="AL70" s="90"/>
      <c r="AM70" s="90"/>
      <c r="AN70" s="90"/>
      <c r="AO70" s="90"/>
      <c r="AP70" s="90"/>
      <c r="AQ70" s="90"/>
      <c r="AU70" s="141"/>
      <c r="AV70" s="141"/>
      <c r="AW70" s="141"/>
      <c r="AX70" s="141"/>
      <c r="AY70" s="141"/>
      <c r="AZ70" s="141"/>
      <c r="BD70" s="90"/>
      <c r="BE70" s="90"/>
      <c r="BF70" s="90"/>
      <c r="BG70" s="90"/>
      <c r="BH70" s="90"/>
      <c r="BI70" s="90"/>
    </row>
    <row r="71" spans="2:52" ht="18" thickTop="1">
      <c r="B71" s="179">
        <f>N71</f>
        <v>1</v>
      </c>
      <c r="C71" s="179" t="str">
        <f>CONCATENATE(C63,E71)</f>
        <v>I1</v>
      </c>
      <c r="D71" s="91">
        <v>25</v>
      </c>
      <c r="E71" s="93">
        <v>1</v>
      </c>
      <c r="F71" s="92" t="str">
        <f>IF(D71="","",VLOOKUP(D71,'Ranquing Inicial'!$B$6:$V$69,2,0))</f>
        <v>JOAN CARLES FONTANET BELLES</v>
      </c>
      <c r="G71" s="93">
        <f>SUM(G65,G67)</f>
        <v>60</v>
      </c>
      <c r="H71" s="93">
        <f>SUM(H65,H67)</f>
        <v>75</v>
      </c>
      <c r="I71" s="111">
        <f>IF(H71="","",G71/H71)</f>
        <v>0.8</v>
      </c>
      <c r="J71" s="93">
        <f>MAX(J65,J67)</f>
        <v>5</v>
      </c>
      <c r="K71" s="95">
        <f>SUM(K65,K67)</f>
        <v>4</v>
      </c>
      <c r="L71" s="200" t="str">
        <f>IF(ISERROR(I71),"",N71&amp;"º")</f>
        <v>1º</v>
      </c>
      <c r="M71" s="112">
        <f>IF(ISERROR(I71),"",SUM(K71,I71/1000,J71/1000000))</f>
        <v>4.000805</v>
      </c>
      <c r="N71" s="133">
        <f>IF(ISERROR(I71),"",RANK(M71,M71:M73))</f>
        <v>1</v>
      </c>
      <c r="O71" s="137" t="str">
        <f>IF(N71=1,VLOOKUP(1,B71:K73,5,0),"")</f>
        <v>JOAN CARLES FONTANET BELLES</v>
      </c>
      <c r="P71" s="138">
        <f>IF(N71=1,VLOOKUP(1,B71:K73,6,0),"")</f>
        <v>60</v>
      </c>
      <c r="Q71" s="138">
        <f>IF(N71=1,VLOOKUP(1,B71:K73,7,0),"")</f>
        <v>75</v>
      </c>
      <c r="R71" s="139">
        <f>IF(N71=1,VLOOKUP(1,B71:K73,8,0),"")</f>
        <v>0.8</v>
      </c>
      <c r="S71" s="138">
        <f>IF(N71=1,VLOOKUP(1,B71:K73,9,0),"")</f>
        <v>5</v>
      </c>
      <c r="T71" s="138">
        <f>IF(N71=1,VLOOKUP(1,B71:K73,10,0),"")</f>
        <v>4</v>
      </c>
      <c r="V71" s="137">
        <f>IF(N71=2,VLOOKUP(2,B71:K73,5,0),"")</f>
      </c>
      <c r="W71" s="138">
        <f>IF(N71=2,VLOOKUP(2,B71:K73,6,0),"")</f>
      </c>
      <c r="X71" s="138">
        <f>IF(N71=2,VLOOKUP(2,B71:K73,7,0),"")</f>
      </c>
      <c r="Y71" s="139">
        <f>IF(N71=2,VLOOKUP(2,B71:K73,8,0),"")</f>
      </c>
      <c r="Z71" s="138">
        <f>IF(N71=2,VLOOKUP(2,B71:K73,9,0),"")</f>
      </c>
      <c r="AA71" s="138">
        <f>IF(N71=2,VLOOKUP(2,$B$15:$K$17,10,0),"")</f>
      </c>
      <c r="AC71" s="135">
        <f>IF(N71=3,VLOOKUP(3,B71:K73,5,0),"")</f>
      </c>
      <c r="AD71" s="138">
        <f>IF(N71=3,VLOOKUP(3,B71:K73,6,0),"")</f>
      </c>
      <c r="AE71" s="138">
        <f>IF(N71=3,VLOOKUP(3,B71:K73,7,0),"")</f>
      </c>
      <c r="AF71" s="139">
        <f>IF(N71=3,VLOOKUP(3,B71:K73,8,0),"")</f>
      </c>
      <c r="AG71" s="138">
        <f>IF(N71=3,VLOOKUP(3,B71:K73,9,0),"")</f>
      </c>
      <c r="AH71" s="138">
        <f>IF(N71=3,VLOOKUP(3,B71:K73,10,0),"")</f>
      </c>
      <c r="AU71" s="142"/>
      <c r="AV71" s="142"/>
      <c r="AW71" s="142"/>
      <c r="AX71" s="142"/>
      <c r="AY71" s="142"/>
      <c r="AZ71" s="142"/>
    </row>
    <row r="72" spans="2:52" ht="16.5">
      <c r="B72" s="179">
        <f>N72</f>
        <v>2</v>
      </c>
      <c r="C72" s="179" t="str">
        <f>CONCATENATE(C63,E72)</f>
        <v>I2</v>
      </c>
      <c r="D72" s="113">
        <v>40</v>
      </c>
      <c r="E72" s="114">
        <v>2</v>
      </c>
      <c r="F72" s="115" t="str">
        <f>IF(D72="","",VLOOKUP(D72,'Ranquing Inicial'!$B$6:$V$69,2,0))</f>
        <v>MANEL PARÉS HERRERA</v>
      </c>
      <c r="G72" s="114">
        <f>SUM(G63,G66)</f>
        <v>41</v>
      </c>
      <c r="H72" s="114">
        <f>SUM(H63,H65)</f>
        <v>84</v>
      </c>
      <c r="I72" s="116">
        <f>IF(H72="","",G72/H72)</f>
        <v>0.4880952380952381</v>
      </c>
      <c r="J72" s="114">
        <f>MAX(J63,J66)</f>
        <v>4</v>
      </c>
      <c r="K72" s="117">
        <f>SUM(K63,K66)</f>
        <v>2</v>
      </c>
      <c r="L72" s="199" t="str">
        <f>IF(ISERROR(I72),"",N72&amp;"º")</f>
        <v>2º</v>
      </c>
      <c r="M72" s="112">
        <f>IF(ISERROR(I72),"",SUM(K72,I72/1000,J72/1000000))</f>
        <v>2.0004920952380956</v>
      </c>
      <c r="N72" s="133">
        <f>IF(ISERROR(I72),"",RANK(M72,M71:M73))</f>
        <v>2</v>
      </c>
      <c r="O72" s="137">
        <f>IF(N72=1,VLOOKUP(1,B71:K73,5,0),"")</f>
      </c>
      <c r="P72" s="138">
        <f>IF(N72=1,VLOOKUP(1,B71:K73,6,0),"")</f>
      </c>
      <c r="Q72" s="138">
        <f>IF(N72=1,VLOOKUP(1,B71:K73,7,0),"")</f>
      </c>
      <c r="R72" s="139">
        <f>IF(N72=1,VLOOKUP(1,B71:K73,8,0),"")</f>
      </c>
      <c r="S72" s="138">
        <f>IF(N72=1,VLOOKUP(1,B71:K73,9,0),"")</f>
      </c>
      <c r="T72" s="138">
        <f>IF(N72=1,VLOOKUP(1,B71:K73,10,0),"")</f>
      </c>
      <c r="V72" s="137" t="str">
        <f>IF(N72=2,VLOOKUP(2,B71:K73,5,0),"")</f>
        <v>MANEL PARÉS HERRERA</v>
      </c>
      <c r="W72" s="138">
        <f>IF(N72=2,VLOOKUP(2,B71:K73,6,0),"")</f>
        <v>41</v>
      </c>
      <c r="X72" s="138">
        <f>IF(N72=2,VLOOKUP(2,B71:K73,7,0),"")</f>
        <v>84</v>
      </c>
      <c r="Y72" s="139">
        <f>IF(N72=2,VLOOKUP(2,B71:$K73,8,0),"")</f>
        <v>0.4880952380952381</v>
      </c>
      <c r="Z72" s="138">
        <f>IF(N72=2,VLOOKUP(2,B71:K73,9,0),"")</f>
        <v>4</v>
      </c>
      <c r="AA72" s="138">
        <f>IF(N72=2,VLOOKUP(2,B71:K73,10,0),"")</f>
        <v>2</v>
      </c>
      <c r="AC72" s="135">
        <f>IF(N72=3,VLOOKUP(3,B71:K73,5,0),"")</f>
      </c>
      <c r="AD72" s="138">
        <f>IF(N72=3,VLOOKUP(3,B71:K73,6,0),"")</f>
      </c>
      <c r="AE72" s="138">
        <f>IF(N72=3,VLOOKUP(3,B71:K73,7,0),"")</f>
      </c>
      <c r="AF72" s="139">
        <f>IF(N72=3,VLOOKUP(3,B71:K73,8,0),"")</f>
      </c>
      <c r="AG72" s="138">
        <f>IF(N72=3,VLOOKUP(3,B71:K73,9,0),"")</f>
      </c>
      <c r="AH72" s="138">
        <f>IF(N72=3,VLOOKUP(3,B71:K73,10,0),"")</f>
      </c>
      <c r="AU72" s="142"/>
      <c r="AV72" s="142"/>
      <c r="AW72" s="142"/>
      <c r="AX72" s="142"/>
      <c r="AY72" s="142"/>
      <c r="AZ72" s="142"/>
    </row>
    <row r="73" spans="2:61" ht="18" thickBot="1">
      <c r="B73" s="179">
        <f>N73</f>
        <v>3</v>
      </c>
      <c r="C73" s="179" t="str">
        <f>CONCATENATE(C63,E73)</f>
        <v>I3</v>
      </c>
      <c r="D73" s="102">
        <v>56</v>
      </c>
      <c r="E73" s="106">
        <v>3</v>
      </c>
      <c r="F73" s="103" t="str">
        <f>IF(D73="","",VLOOKUP(D73,'Ranquing Inicial'!$B$6:$V$69,2,0))</f>
        <v>LUIS NAVARRO DE LOS SANTOS</v>
      </c>
      <c r="G73" s="106">
        <f>SUM(G64,G68)</f>
        <v>30</v>
      </c>
      <c r="H73" s="106">
        <f>SUM(H63,H67)</f>
        <v>91</v>
      </c>
      <c r="I73" s="118">
        <f>IF(H73="","",G73/H73)</f>
        <v>0.32967032967032966</v>
      </c>
      <c r="J73" s="106">
        <f>MAX(J64,J68)</f>
        <v>3</v>
      </c>
      <c r="K73" s="108">
        <f>SUM(K64,K68)</f>
        <v>0</v>
      </c>
      <c r="L73" s="201" t="str">
        <f>IF(ISERROR(I73),"",N73&amp;"º")</f>
        <v>3º</v>
      </c>
      <c r="M73" s="112">
        <f>IF(ISERROR(I73),"",SUM(K73,I73/1000,J73/1000000))</f>
        <v>0.0003326703296703297</v>
      </c>
      <c r="N73" s="133">
        <f>IF(ISERROR(I73),"",RANK(M73,M71:M73))</f>
        <v>3</v>
      </c>
      <c r="O73" s="137">
        <f>IF(N73=1,VLOOKUP(1,B71:K73,5,0),"")</f>
      </c>
      <c r="P73" s="138">
        <f>IF(N73=1,VLOOKUP(1,B71:K73,6,0),"")</f>
      </c>
      <c r="Q73" s="138">
        <f>IF(N73=1,VLOOKUP(1,B71:K73,7,0),"")</f>
      </c>
      <c r="R73" s="139">
        <f>IF(N73=1,VLOOKUP(1,B71:K73,8,0),"")</f>
      </c>
      <c r="S73" s="138">
        <f>IF(N73=1,VLOOKUP(1,B71:K73,9,0),"")</f>
      </c>
      <c r="T73" s="138">
        <f>IF(N73=1,VLOOKUP(1,B71:K73,10,0),"")</f>
      </c>
      <c r="V73" s="135">
        <f>IF(N73=2,VLOOKUP(2,B71:K73,5,0),"")</f>
      </c>
      <c r="W73" s="138">
        <f>IF(N73=2,VLOOKUP(2,B71:K73,6,0),"")</f>
      </c>
      <c r="X73" s="138">
        <f>IF(N73=2,VLOOKUP(2,B71:K73,7,0),"")</f>
      </c>
      <c r="Y73" s="139">
        <f>IF(N73=2,VLOOKUP(2,B71:K73,8,0),"")</f>
      </c>
      <c r="Z73" s="138">
        <f>IF(N73=2,VLOOKUP(2,B71:K73,9,0),"")</f>
      </c>
      <c r="AA73" s="138">
        <f>IF(N73=2,VLOOKUP(2,B71:K73,10,0),"")</f>
      </c>
      <c r="AC73" s="135" t="str">
        <f>IF(N73=3,VLOOKUP(3,B71:K73,5,0),"")</f>
        <v>LUIS NAVARRO DE LOS SANTOS</v>
      </c>
      <c r="AD73" s="138">
        <f>IF(N73=3,VLOOKUP(3,B71:K73,6,0),"")</f>
        <v>30</v>
      </c>
      <c r="AE73" s="138">
        <f>IF(N73=3,VLOOKUP(3,B71:K73,7,0),"")</f>
        <v>91</v>
      </c>
      <c r="AF73" s="139">
        <f>IF(N73=3,VLOOKUP(3,B71:K73,8,0),"")</f>
        <v>0.32967032967032966</v>
      </c>
      <c r="AG73" s="138">
        <f>IF(N73=3,VLOOKUP(3,B71:K73,9,0),"")</f>
        <v>3</v>
      </c>
      <c r="AH73" s="138">
        <f>IF(N73=3,VLOOKUP(3,B71:K73,10,0),"")</f>
        <v>0</v>
      </c>
      <c r="AL73" s="130"/>
      <c r="AM73" s="130"/>
      <c r="AN73" s="130"/>
      <c r="AO73" s="130"/>
      <c r="AP73" s="130"/>
      <c r="AQ73" s="130"/>
      <c r="AU73" s="130"/>
      <c r="AV73" s="130"/>
      <c r="AW73" s="130"/>
      <c r="AX73" s="130"/>
      <c r="AY73" s="130"/>
      <c r="AZ73" s="130"/>
      <c r="BD73" s="130"/>
      <c r="BE73" s="130"/>
      <c r="BF73" s="130"/>
      <c r="BG73" s="130"/>
      <c r="BH73" s="130"/>
      <c r="BI73" s="130"/>
    </row>
    <row r="74" spans="2:62" s="90" customFormat="1" ht="12.75" thickTop="1">
      <c r="B74" s="179"/>
      <c r="I74" s="180">
        <f>MAX(I71:I73)</f>
        <v>0.8</v>
      </c>
      <c r="J74" s="179"/>
      <c r="K74" s="179">
        <f>SUM(K71:K73)</f>
        <v>6</v>
      </c>
      <c r="L74" s="179" t="e">
        <f>MODE(K71:K73)</f>
        <v>#N/A</v>
      </c>
      <c r="M74" s="109"/>
      <c r="N74" s="133"/>
      <c r="O74" s="135"/>
      <c r="P74" s="133"/>
      <c r="Q74" s="133"/>
      <c r="R74" s="133"/>
      <c r="S74" s="133"/>
      <c r="T74" s="133"/>
      <c r="U74" s="136"/>
      <c r="V74" s="135"/>
      <c r="W74" s="133"/>
      <c r="X74" s="133"/>
      <c r="Y74" s="133"/>
      <c r="Z74" s="133"/>
      <c r="AA74" s="133"/>
      <c r="AB74" s="136"/>
      <c r="AC74" s="135"/>
      <c r="AD74" s="133"/>
      <c r="AE74" s="133"/>
      <c r="AF74" s="133"/>
      <c r="AG74" s="133"/>
      <c r="AH74" s="133"/>
      <c r="AI74" s="132"/>
      <c r="AJ74" s="143"/>
      <c r="AK74" s="141"/>
      <c r="AL74" s="89"/>
      <c r="AM74" s="89"/>
      <c r="AN74" s="89"/>
      <c r="AO74" s="89"/>
      <c r="AP74" s="89"/>
      <c r="AQ74" s="89"/>
      <c r="AR74" s="132"/>
      <c r="AS74" s="143"/>
      <c r="AT74" s="141"/>
      <c r="AU74" s="142"/>
      <c r="AV74" s="142"/>
      <c r="AW74" s="142"/>
      <c r="AX74" s="142"/>
      <c r="AY74" s="142"/>
      <c r="AZ74" s="142"/>
      <c r="BA74" s="136"/>
      <c r="BB74" s="143"/>
      <c r="BC74" s="141"/>
      <c r="BD74" s="89"/>
      <c r="BE74" s="89"/>
      <c r="BF74" s="89"/>
      <c r="BG74" s="89"/>
      <c r="BH74" s="89"/>
      <c r="BI74" s="89"/>
      <c r="BJ74" s="136"/>
    </row>
    <row r="75" spans="47:52" ht="12">
      <c r="AU75" s="142"/>
      <c r="AV75" s="142"/>
      <c r="AW75" s="142"/>
      <c r="AX75" s="142"/>
      <c r="AY75" s="142"/>
      <c r="AZ75" s="142"/>
    </row>
    <row r="76" spans="6:52" ht="12.75" thickBot="1">
      <c r="F76" s="89" t="s">
        <v>262</v>
      </c>
      <c r="G76" s="89" t="s">
        <v>263</v>
      </c>
      <c r="H76" s="89" t="s">
        <v>264</v>
      </c>
      <c r="I76" s="89" t="s">
        <v>309</v>
      </c>
      <c r="J76" s="89" t="s">
        <v>266</v>
      </c>
      <c r="K76" s="89" t="s">
        <v>301</v>
      </c>
      <c r="AU76" s="142"/>
      <c r="AV76" s="142"/>
      <c r="AW76" s="142"/>
      <c r="AX76" s="142"/>
      <c r="AY76" s="142"/>
      <c r="AZ76" s="142"/>
    </row>
    <row r="77" spans="3:52" ht="15.75" customHeight="1" thickTop="1">
      <c r="C77" s="646" t="str">
        <f>'Fase Grups'!O5</f>
        <v>K</v>
      </c>
      <c r="D77" s="123">
        <f>'Fase Grups'!$N$14</f>
        <v>0.4583333333333333</v>
      </c>
      <c r="E77" s="91" t="str">
        <f>C86</f>
        <v>K2</v>
      </c>
      <c r="F77" s="92" t="str">
        <f aca="true" t="shared" si="5" ref="F77:F82">VLOOKUP(E77,$C$85:$F$87,4,1)</f>
        <v>VICENTE ALBERICH SÁNCHEZ</v>
      </c>
      <c r="G77" s="93">
        <v>27</v>
      </c>
      <c r="H77" s="639">
        <v>44</v>
      </c>
      <c r="I77" s="94">
        <f>IF(H77="","",G77/H77)</f>
        <v>0.6136363636363636</v>
      </c>
      <c r="J77" s="93">
        <v>5</v>
      </c>
      <c r="K77" s="95">
        <f>IF(H77="","",IF(G77&lt;G78,0,IF(G77&gt;G78,2,1)))</f>
        <v>0</v>
      </c>
      <c r="L77" s="96"/>
      <c r="AU77" s="142"/>
      <c r="AV77" s="142"/>
      <c r="AW77" s="142"/>
      <c r="AX77" s="142"/>
      <c r="AY77" s="142"/>
      <c r="AZ77" s="142"/>
    </row>
    <row r="78" spans="3:52" ht="15.75" customHeight="1" thickBot="1">
      <c r="C78" s="647"/>
      <c r="D78" s="124" t="str">
        <f>CONCATENATE("Mesa ",'Fase Grups'!$R$12)</f>
        <v>Mesa 2</v>
      </c>
      <c r="E78" s="97" t="str">
        <f>C87</f>
        <v>K3</v>
      </c>
      <c r="F78" s="98" t="str">
        <f t="shared" si="5"/>
        <v>ANTONIO MONTES GALLARDO</v>
      </c>
      <c r="G78" s="99">
        <v>30</v>
      </c>
      <c r="H78" s="640"/>
      <c r="I78" s="100">
        <f>IF(H77="","",G78/H77)</f>
        <v>0.6818181818181818</v>
      </c>
      <c r="J78" s="99">
        <v>4</v>
      </c>
      <c r="K78" s="101">
        <f>IF(H77="","",IF(G78&lt;G77,0,IF(G78&gt;G77,2,1)))</f>
        <v>2</v>
      </c>
      <c r="L78" s="96"/>
      <c r="AU78" s="142"/>
      <c r="AV78" s="142"/>
      <c r="AW78" s="142"/>
      <c r="AX78" s="142"/>
      <c r="AY78" s="142"/>
      <c r="AZ78" s="142"/>
    </row>
    <row r="79" spans="3:52" ht="15.75" customHeight="1" thickTop="1">
      <c r="C79" s="647"/>
      <c r="D79" s="196">
        <v>0.6666666666666666</v>
      </c>
      <c r="E79" s="91" t="str">
        <f>C85</f>
        <v>K1</v>
      </c>
      <c r="F79" s="92" t="str">
        <f t="shared" si="5"/>
        <v>RAFAEL PÉREZ ZORRILLA</v>
      </c>
      <c r="G79" s="93">
        <v>30</v>
      </c>
      <c r="H79" s="639">
        <v>42</v>
      </c>
      <c r="I79" s="94">
        <f>IF(H79="","",G79/H79)</f>
        <v>0.7142857142857143</v>
      </c>
      <c r="J79" s="93">
        <v>9</v>
      </c>
      <c r="K79" s="95">
        <f>IF(H79="","",IF(G79&lt;G80,0,IF(G79&gt;G80,2,1)))</f>
        <v>2</v>
      </c>
      <c r="L79" s="96"/>
      <c r="AU79" s="142"/>
      <c r="AV79" s="142"/>
      <c r="AW79" s="142"/>
      <c r="AX79" s="142"/>
      <c r="AY79" s="142"/>
      <c r="AZ79" s="142"/>
    </row>
    <row r="80" spans="3:52" ht="15.75" customHeight="1" thickBot="1">
      <c r="C80" s="647"/>
      <c r="D80" s="197" t="s">
        <v>306</v>
      </c>
      <c r="E80" s="102" t="str">
        <f>C86</f>
        <v>K2</v>
      </c>
      <c r="F80" s="103" t="str">
        <f t="shared" si="5"/>
        <v>VICENTE ALBERICH SÁNCHEZ</v>
      </c>
      <c r="G80" s="99">
        <v>22</v>
      </c>
      <c r="H80" s="640"/>
      <c r="I80" s="100">
        <f>IF(H79="","",G80/H79)</f>
        <v>0.5238095238095238</v>
      </c>
      <c r="J80" s="99">
        <v>6</v>
      </c>
      <c r="K80" s="101">
        <f>IF(H79="","",IF(G80&lt;G79,0,IF(G80&gt;G79,2,1)))</f>
        <v>0</v>
      </c>
      <c r="L80" s="96"/>
      <c r="AU80" s="142"/>
      <c r="AV80" s="142"/>
      <c r="AW80" s="142"/>
      <c r="AX80" s="142"/>
      <c r="AY80" s="142"/>
      <c r="AZ80" s="142"/>
    </row>
    <row r="81" spans="3:61" ht="15.75" customHeight="1" thickTop="1">
      <c r="C81" s="647"/>
      <c r="D81" s="123">
        <v>0.7916666666666666</v>
      </c>
      <c r="E81" s="104" t="str">
        <f>C85</f>
        <v>K1</v>
      </c>
      <c r="F81" s="105" t="str">
        <f t="shared" si="5"/>
        <v>RAFAEL PÉREZ ZORRILLA</v>
      </c>
      <c r="G81" s="93">
        <v>29</v>
      </c>
      <c r="H81" s="639">
        <v>50</v>
      </c>
      <c r="I81" s="94">
        <f>IF(H81="","",G81/H81)</f>
        <v>0.58</v>
      </c>
      <c r="J81" s="93">
        <v>6</v>
      </c>
      <c r="K81" s="95">
        <f>IF(H81="","",IF(G81&lt;G82,0,IF(G81&gt;G82,2,1)))</f>
        <v>2</v>
      </c>
      <c r="L81" s="96"/>
      <c r="AL81" s="90"/>
      <c r="AM81" s="90"/>
      <c r="AN81" s="90"/>
      <c r="AO81" s="90"/>
      <c r="AP81" s="90"/>
      <c r="AQ81" s="90"/>
      <c r="AU81" s="141"/>
      <c r="AV81" s="141"/>
      <c r="AW81" s="141"/>
      <c r="AX81" s="141"/>
      <c r="AY81" s="141"/>
      <c r="AZ81" s="141"/>
      <c r="BD81" s="90"/>
      <c r="BE81" s="90"/>
      <c r="BF81" s="90"/>
      <c r="BG81" s="90"/>
      <c r="BH81" s="90"/>
      <c r="BI81" s="90"/>
    </row>
    <row r="82" spans="3:52" ht="15.75" customHeight="1" thickBot="1">
      <c r="C82" s="648"/>
      <c r="D82" s="197" t="s">
        <v>306</v>
      </c>
      <c r="E82" s="102" t="str">
        <f>C87</f>
        <v>K3</v>
      </c>
      <c r="F82" s="103" t="str">
        <f t="shared" si="5"/>
        <v>ANTONIO MONTES GALLARDO</v>
      </c>
      <c r="G82" s="106">
        <v>23</v>
      </c>
      <c r="H82" s="640"/>
      <c r="I82" s="107">
        <f>IF(H81="","",G82/H81)</f>
        <v>0.46</v>
      </c>
      <c r="J82" s="106">
        <v>3</v>
      </c>
      <c r="K82" s="108">
        <f>IF(H81="","",IF(G82&lt;G81,0,IF(G82&gt;G81,2,1)))</f>
        <v>0</v>
      </c>
      <c r="L82" s="96"/>
      <c r="AU82" s="142"/>
      <c r="AV82" s="142"/>
      <c r="AW82" s="142"/>
      <c r="AX82" s="142"/>
      <c r="AY82" s="142"/>
      <c r="AZ82" s="142"/>
    </row>
    <row r="83" spans="2:62" s="90" customFormat="1" ht="9.75">
      <c r="B83" s="179"/>
      <c r="G83" s="179">
        <f>SUM(G77:G82)</f>
        <v>161</v>
      </c>
      <c r="M83" s="109"/>
      <c r="N83" s="133"/>
      <c r="O83" s="135"/>
      <c r="P83" s="133"/>
      <c r="Q83" s="133"/>
      <c r="R83" s="133"/>
      <c r="S83" s="133"/>
      <c r="T83" s="133"/>
      <c r="U83" s="136"/>
      <c r="V83" s="135"/>
      <c r="W83" s="133"/>
      <c r="X83" s="133"/>
      <c r="Y83" s="133"/>
      <c r="Z83" s="133"/>
      <c r="AA83" s="133"/>
      <c r="AB83" s="136"/>
      <c r="AC83" s="135"/>
      <c r="AD83" s="133"/>
      <c r="AE83" s="133"/>
      <c r="AF83" s="133"/>
      <c r="AG83" s="133"/>
      <c r="AH83" s="133"/>
      <c r="AI83" s="132"/>
      <c r="AJ83" s="143"/>
      <c r="AK83" s="141"/>
      <c r="AR83" s="132"/>
      <c r="AS83" s="143"/>
      <c r="AT83" s="141"/>
      <c r="AU83" s="141"/>
      <c r="AV83" s="141"/>
      <c r="AW83" s="141"/>
      <c r="AX83" s="141"/>
      <c r="AY83" s="141"/>
      <c r="AZ83" s="141"/>
      <c r="BA83" s="136"/>
      <c r="BB83" s="143"/>
      <c r="BC83" s="141"/>
      <c r="BJ83" s="136"/>
    </row>
    <row r="84" spans="2:52" ht="12.75" thickBot="1">
      <c r="B84" s="179" t="s">
        <v>271</v>
      </c>
      <c r="D84" s="119" t="s">
        <v>268</v>
      </c>
      <c r="E84" s="173" t="str">
        <f>C77</f>
        <v>K</v>
      </c>
      <c r="F84" s="89" t="s">
        <v>262</v>
      </c>
      <c r="G84" s="89" t="s">
        <v>263</v>
      </c>
      <c r="H84" s="89" t="s">
        <v>264</v>
      </c>
      <c r="I84" s="89" t="s">
        <v>309</v>
      </c>
      <c r="J84" s="89" t="s">
        <v>266</v>
      </c>
      <c r="K84" s="89" t="s">
        <v>301</v>
      </c>
      <c r="L84" s="89" t="s">
        <v>269</v>
      </c>
      <c r="M84" s="109" t="s">
        <v>272</v>
      </c>
      <c r="N84" s="133" t="s">
        <v>270</v>
      </c>
      <c r="AU84" s="142"/>
      <c r="AV84" s="142"/>
      <c r="AW84" s="142"/>
      <c r="AX84" s="142"/>
      <c r="AY84" s="142"/>
      <c r="AZ84" s="142"/>
    </row>
    <row r="85" spans="2:52" ht="18" thickTop="1">
      <c r="B85" s="179">
        <f>N85</f>
        <v>1</v>
      </c>
      <c r="C85" s="179" t="str">
        <f>CONCATENATE(C77,E85)</f>
        <v>K1</v>
      </c>
      <c r="D85" s="91">
        <v>27</v>
      </c>
      <c r="E85" s="93">
        <v>1</v>
      </c>
      <c r="F85" s="92" t="str">
        <f>IF(D85="","",VLOOKUP(D85,'Ranquing Inicial'!$B$6:$V$69,2,0))</f>
        <v>RAFAEL PÉREZ ZORRILLA</v>
      </c>
      <c r="G85" s="93">
        <f>SUM(G79,G81)</f>
        <v>59</v>
      </c>
      <c r="H85" s="93">
        <f>SUM(H79,H81)</f>
        <v>92</v>
      </c>
      <c r="I85" s="111">
        <f>IF(H85="","",G85/H85)</f>
        <v>0.6413043478260869</v>
      </c>
      <c r="J85" s="93">
        <f>MAX(J79,J81)</f>
        <v>9</v>
      </c>
      <c r="K85" s="95">
        <f>SUM(K79,K81)</f>
        <v>4</v>
      </c>
      <c r="L85" s="200" t="str">
        <f>IF(ISERROR(I85),"",N85&amp;"º")</f>
        <v>1º</v>
      </c>
      <c r="M85" s="112">
        <f>IF(ISERROR(I85),"",SUM(K85,I85/1000,J85/1000000))</f>
        <v>4.000650304347826</v>
      </c>
      <c r="N85" s="133">
        <f>IF(ISERROR(I85),"",RANK(M85,M85:M87))</f>
        <v>1</v>
      </c>
      <c r="O85" s="137" t="str">
        <f>IF(N85=1,VLOOKUP(1,B85:K87,5,0),"")</f>
        <v>RAFAEL PÉREZ ZORRILLA</v>
      </c>
      <c r="P85" s="138">
        <f>IF(N85=1,VLOOKUP(1,B85:K87,6,0),"")</f>
        <v>59</v>
      </c>
      <c r="Q85" s="138">
        <f>IF(N85=1,VLOOKUP(1,B85:K87,7,0),"")</f>
        <v>92</v>
      </c>
      <c r="R85" s="139">
        <f>IF(N85=1,VLOOKUP(1,B85:K87,8,0),"")</f>
        <v>0.6413043478260869</v>
      </c>
      <c r="S85" s="138">
        <f>IF(N85=1,VLOOKUP(1,B85:K87,9,0),"")</f>
        <v>9</v>
      </c>
      <c r="T85" s="138">
        <f>IF(N85=1,VLOOKUP(1,B85:K87,10,0),"")</f>
        <v>4</v>
      </c>
      <c r="V85" s="137">
        <f>IF(N85=2,VLOOKUP(2,B85:K87,5,0),"")</f>
      </c>
      <c r="W85" s="138">
        <f>IF(N85=2,VLOOKUP(2,B85:K87,6,0),"")</f>
      </c>
      <c r="X85" s="138">
        <f>IF(N85=2,VLOOKUP(2,B85:K87,7,0),"")</f>
      </c>
      <c r="Y85" s="139">
        <f>IF(N85=2,VLOOKUP(2,B85:K87,8,0),"")</f>
      </c>
      <c r="Z85" s="138">
        <f>IF(N85=2,VLOOKUP(2,B85:K87,9,0),"")</f>
      </c>
      <c r="AA85" s="138">
        <f>IF(N85=2,VLOOKUP(2,$B$15:$K$17,10,0),"")</f>
      </c>
      <c r="AC85" s="135">
        <f>IF(N85=3,VLOOKUP(3,B85:K87,5,0),"")</f>
      </c>
      <c r="AD85" s="138">
        <f>IF(N85=3,VLOOKUP(3,B85:K87,6,0),"")</f>
      </c>
      <c r="AE85" s="138">
        <f>IF(N85=3,VLOOKUP(3,B85:K87,7,0),"")</f>
      </c>
      <c r="AF85" s="139">
        <f>IF(N85=3,VLOOKUP(3,B85:K87,8,0),"")</f>
      </c>
      <c r="AG85" s="138">
        <f>IF(N85=3,VLOOKUP(3,B85:K87,9,0),"")</f>
      </c>
      <c r="AH85" s="138">
        <f>IF(N85=3,VLOOKUP(3,B85:K87,10,0),"")</f>
      </c>
      <c r="AU85" s="142"/>
      <c r="AV85" s="142"/>
      <c r="AW85" s="142"/>
      <c r="AX85" s="142"/>
      <c r="AY85" s="142"/>
      <c r="AZ85" s="142"/>
    </row>
    <row r="86" spans="2:52" ht="16.5">
      <c r="B86" s="179">
        <f>N86</f>
        <v>3</v>
      </c>
      <c r="C86" s="179" t="str">
        <f>CONCATENATE(C77,E86)</f>
        <v>K2</v>
      </c>
      <c r="D86" s="113">
        <v>38</v>
      </c>
      <c r="E86" s="114">
        <v>2</v>
      </c>
      <c r="F86" s="115" t="str">
        <f>IF(D86="","",VLOOKUP(D86,'Ranquing Inicial'!$B$6:$V$69,2,0))</f>
        <v>VICENTE ALBERICH SÁNCHEZ</v>
      </c>
      <c r="G86" s="114">
        <f>SUM(G77,G80)</f>
        <v>49</v>
      </c>
      <c r="H86" s="114">
        <f>SUM(H77,H79)</f>
        <v>86</v>
      </c>
      <c r="I86" s="116">
        <f>IF(H86="","",G86/H86)</f>
        <v>0.5697674418604651</v>
      </c>
      <c r="J86" s="114">
        <f>MAX(J77,J80)</f>
        <v>6</v>
      </c>
      <c r="K86" s="117">
        <f>SUM(K77,K80)</f>
        <v>0</v>
      </c>
      <c r="L86" s="199" t="str">
        <f>IF(ISERROR(I86),"",N86&amp;"º")</f>
        <v>3º</v>
      </c>
      <c r="M86" s="112">
        <f>IF(ISERROR(I86),"",SUM(K86,I86/1000,J86/1000000))</f>
        <v>0.0005757674418604651</v>
      </c>
      <c r="N86" s="133">
        <f>IF(ISERROR(I86),"",RANK(M86,M85:M87))</f>
        <v>3</v>
      </c>
      <c r="O86" s="137">
        <f>IF(N86=1,VLOOKUP(1,B85:K87,5,0),"")</f>
      </c>
      <c r="P86" s="138">
        <f>IF(N86=1,VLOOKUP(1,B85:K87,6,0),"")</f>
      </c>
      <c r="Q86" s="138">
        <f>IF(N86=1,VLOOKUP(1,B85:K87,7,0),"")</f>
      </c>
      <c r="R86" s="139">
        <f>IF(N86=1,VLOOKUP(1,B85:K87,8,0),"")</f>
      </c>
      <c r="S86" s="138">
        <f>IF(N86=1,VLOOKUP(1,B85:K87,9,0),"")</f>
      </c>
      <c r="T86" s="138">
        <f>IF(N86=1,VLOOKUP(1,B85:K87,10,0),"")</f>
      </c>
      <c r="V86" s="137">
        <f>IF(N86=2,VLOOKUP(2,B85:K87,5,0),"")</f>
      </c>
      <c r="W86" s="138">
        <f>IF(N86=2,VLOOKUP(2,B85:K87,6,0),"")</f>
      </c>
      <c r="X86" s="138">
        <f>IF(N86=2,VLOOKUP(2,B85:K87,7,0),"")</f>
      </c>
      <c r="Y86" s="139">
        <f>IF(N86=2,VLOOKUP(2,B85:$K87,8,0),"")</f>
      </c>
      <c r="Z86" s="138">
        <f>IF(N86=2,VLOOKUP(2,B85:K87,9,0),"")</f>
      </c>
      <c r="AA86" s="138">
        <f>IF(N86=2,VLOOKUP(2,B85:K87,10,0),"")</f>
      </c>
      <c r="AC86" s="135" t="str">
        <f>IF(N86=3,VLOOKUP(3,B85:K87,5,0),"")</f>
        <v>VICENTE ALBERICH SÁNCHEZ</v>
      </c>
      <c r="AD86" s="138">
        <f>IF(N86=3,VLOOKUP(3,B85:K87,6,0),"")</f>
        <v>49</v>
      </c>
      <c r="AE86" s="138">
        <f>IF(N86=3,VLOOKUP(3,B85:K87,7,0),"")</f>
        <v>86</v>
      </c>
      <c r="AF86" s="139">
        <f>IF(N86=3,VLOOKUP(3,B85:K87,8,0),"")</f>
        <v>0.5697674418604651</v>
      </c>
      <c r="AG86" s="138">
        <f>IF(N86=3,VLOOKUP(3,B85:K87,9,0),"")</f>
        <v>6</v>
      </c>
      <c r="AH86" s="138">
        <f>IF(N86=3,VLOOKUP(3,B85:K87,10,0),"")</f>
        <v>0</v>
      </c>
      <c r="AU86" s="142"/>
      <c r="AV86" s="142"/>
      <c r="AW86" s="142"/>
      <c r="AX86" s="142"/>
      <c r="AY86" s="142"/>
      <c r="AZ86" s="142"/>
    </row>
    <row r="87" spans="2:52" ht="18" thickBot="1">
      <c r="B87" s="179">
        <f>N87</f>
        <v>2</v>
      </c>
      <c r="C87" s="179" t="str">
        <f>CONCATENATE(C77,E87)</f>
        <v>K3</v>
      </c>
      <c r="D87" s="102">
        <v>54</v>
      </c>
      <c r="E87" s="106">
        <v>3</v>
      </c>
      <c r="F87" s="103" t="str">
        <f>IF(D87="","",VLOOKUP(D87,'Ranquing Inicial'!$B$6:$V$69,2,0))</f>
        <v>ANTONIO MONTES GALLARDO</v>
      </c>
      <c r="G87" s="106">
        <f>SUM(G78,G82)</f>
        <v>53</v>
      </c>
      <c r="H87" s="106">
        <f>SUM(H77,H81)</f>
        <v>94</v>
      </c>
      <c r="I87" s="118">
        <f>IF(H87="","",G87/H87)</f>
        <v>0.5638297872340425</v>
      </c>
      <c r="J87" s="106">
        <f>MAX(J78,J82)</f>
        <v>4</v>
      </c>
      <c r="K87" s="108">
        <f>SUM(K78,K82)</f>
        <v>2</v>
      </c>
      <c r="L87" s="201" t="str">
        <f>IF(ISERROR(I87),"",N87&amp;"º")</f>
        <v>2º</v>
      </c>
      <c r="M87" s="112">
        <f>IF(ISERROR(I87),"",SUM(K87,I87/1000,J87/1000000))</f>
        <v>2.0005678297872342</v>
      </c>
      <c r="N87" s="133">
        <f>IF(ISERROR(I87),"",RANK(M87,M85:M87))</f>
        <v>2</v>
      </c>
      <c r="O87" s="137">
        <f>IF(N87=1,VLOOKUP(1,B85:K87,5,0),"")</f>
      </c>
      <c r="P87" s="138">
        <f>IF(N87=1,VLOOKUP(1,B85:K87,6,0),"")</f>
      </c>
      <c r="Q87" s="138">
        <f>IF(N87=1,VLOOKUP(1,B85:K87,7,0),"")</f>
      </c>
      <c r="R87" s="139">
        <f>IF(N87=1,VLOOKUP(1,B85:K87,8,0),"")</f>
      </c>
      <c r="S87" s="138">
        <f>IF(N87=1,VLOOKUP(1,B85:K87,9,0),"")</f>
      </c>
      <c r="T87" s="138">
        <f>IF(N87=1,VLOOKUP(1,B85:K87,10,0),"")</f>
      </c>
      <c r="V87" s="135" t="str">
        <f>IF(N87=2,VLOOKUP(2,B85:K87,5,0),"")</f>
        <v>ANTONIO MONTES GALLARDO</v>
      </c>
      <c r="W87" s="138">
        <f>IF(N87=2,VLOOKUP(2,B85:K87,6,0),"")</f>
        <v>53</v>
      </c>
      <c r="X87" s="138">
        <f>IF(N87=2,VLOOKUP(2,B85:K87,7,0),"")</f>
        <v>94</v>
      </c>
      <c r="Y87" s="139">
        <f>IF(N87=2,VLOOKUP(2,B85:K87,8,0),"")</f>
        <v>0.5638297872340425</v>
      </c>
      <c r="Z87" s="138">
        <f>IF(N87=2,VLOOKUP(2,B85:K87,9,0),"")</f>
        <v>4</v>
      </c>
      <c r="AA87" s="138">
        <f>IF(N87=2,VLOOKUP(2,B85:K87,10,0),"")</f>
        <v>2</v>
      </c>
      <c r="AC87" s="135">
        <f>IF(N87=3,VLOOKUP(3,B85:K87,5,0),"")</f>
      </c>
      <c r="AD87" s="138">
        <f>IF(N87=3,VLOOKUP(3,B85:K87,6,0),"")</f>
      </c>
      <c r="AE87" s="138">
        <f>IF(N87=3,VLOOKUP(3,B85:K87,7,0),"")</f>
      </c>
      <c r="AF87" s="139">
        <f>IF(N87=3,VLOOKUP(3,B85:K87,8,0),"")</f>
      </c>
      <c r="AG87" s="138">
        <f>IF(N87=3,VLOOKUP(3,B85:K87,9,0),"")</f>
      </c>
      <c r="AH87" s="138">
        <f>IF(N87=3,VLOOKUP(3,B85:K87,10,0),"")</f>
      </c>
      <c r="AU87" s="142"/>
      <c r="AV87" s="142"/>
      <c r="AW87" s="142"/>
      <c r="AX87" s="142"/>
      <c r="AY87" s="142"/>
      <c r="AZ87" s="142"/>
    </row>
    <row r="88" spans="2:62" s="90" customFormat="1" ht="12.75" thickTop="1">
      <c r="B88" s="179"/>
      <c r="I88" s="180">
        <f>MAX(I85:I87)</f>
        <v>0.6413043478260869</v>
      </c>
      <c r="J88" s="179"/>
      <c r="K88" s="179">
        <f>SUM(K85:K87)</f>
        <v>6</v>
      </c>
      <c r="L88" s="179" t="e">
        <f>MODE(K85:K87)</f>
        <v>#N/A</v>
      </c>
      <c r="M88" s="109"/>
      <c r="N88" s="133"/>
      <c r="O88" s="135"/>
      <c r="P88" s="133"/>
      <c r="Q88" s="133"/>
      <c r="R88" s="133"/>
      <c r="S88" s="133"/>
      <c r="T88" s="133"/>
      <c r="U88" s="136"/>
      <c r="V88" s="135"/>
      <c r="W88" s="133"/>
      <c r="X88" s="133"/>
      <c r="Y88" s="133"/>
      <c r="Z88" s="133"/>
      <c r="AA88" s="133"/>
      <c r="AB88" s="136"/>
      <c r="AC88" s="135"/>
      <c r="AD88" s="133"/>
      <c r="AE88" s="133"/>
      <c r="AF88" s="133"/>
      <c r="AG88" s="133"/>
      <c r="AH88" s="133"/>
      <c r="AI88" s="132"/>
      <c r="AJ88" s="143"/>
      <c r="AK88" s="141"/>
      <c r="AL88" s="89"/>
      <c r="AM88" s="89"/>
      <c r="AN88" s="89"/>
      <c r="AO88" s="89"/>
      <c r="AP88" s="89"/>
      <c r="AQ88" s="89"/>
      <c r="AR88" s="132"/>
      <c r="AS88" s="143"/>
      <c r="AT88" s="141"/>
      <c r="AU88" s="142"/>
      <c r="AV88" s="142"/>
      <c r="AW88" s="142"/>
      <c r="AX88" s="142"/>
      <c r="AY88" s="142"/>
      <c r="AZ88" s="142"/>
      <c r="BA88" s="136"/>
      <c r="BB88" s="143"/>
      <c r="BC88" s="141"/>
      <c r="BD88" s="89"/>
      <c r="BE88" s="89"/>
      <c r="BF88" s="89"/>
      <c r="BG88" s="89"/>
      <c r="BH88" s="89"/>
      <c r="BI88" s="89"/>
      <c r="BJ88" s="136"/>
    </row>
    <row r="89" spans="47:52" ht="12">
      <c r="AU89" s="142"/>
      <c r="AV89" s="142"/>
      <c r="AW89" s="142"/>
      <c r="AX89" s="142"/>
      <c r="AY89" s="142"/>
      <c r="AZ89" s="142"/>
    </row>
    <row r="90" spans="6:52" ht="12.75" thickBot="1">
      <c r="F90" s="89" t="s">
        <v>262</v>
      </c>
      <c r="G90" s="89" t="s">
        <v>263</v>
      </c>
      <c r="H90" s="89" t="s">
        <v>264</v>
      </c>
      <c r="I90" s="89" t="s">
        <v>309</v>
      </c>
      <c r="J90" s="89" t="s">
        <v>266</v>
      </c>
      <c r="K90" s="89" t="s">
        <v>301</v>
      </c>
      <c r="AU90" s="142"/>
      <c r="AV90" s="142"/>
      <c r="AW90" s="142"/>
      <c r="AX90" s="142"/>
      <c r="AY90" s="142"/>
      <c r="AZ90" s="142"/>
    </row>
    <row r="91" spans="3:52" ht="15.75" customHeight="1" thickTop="1">
      <c r="C91" s="646" t="str">
        <f>'Fase Grups'!Q5</f>
        <v>M</v>
      </c>
      <c r="D91" s="123">
        <f>'Fase Grups'!$N$14</f>
        <v>0.4583333333333333</v>
      </c>
      <c r="E91" s="91" t="str">
        <f>C100</f>
        <v>M2</v>
      </c>
      <c r="F91" s="92" t="str">
        <f aca="true" t="shared" si="6" ref="F91:F96">VLOOKUP(E91,$C$99:$F$101,4,1)</f>
        <v>JOHN JAIRO ZULETA GIRALDO</v>
      </c>
      <c r="G91" s="120">
        <v>22</v>
      </c>
      <c r="H91" s="644">
        <v>40</v>
      </c>
      <c r="I91" s="94">
        <f>IF(H91="","",G91/H91)</f>
        <v>0.55</v>
      </c>
      <c r="J91" s="120">
        <v>6</v>
      </c>
      <c r="K91" s="95">
        <f>IF(H91="","",IF(G91&lt;G92,0,IF(G91&gt;G92,2,1)))</f>
        <v>0</v>
      </c>
      <c r="L91" s="96"/>
      <c r="AU91" s="142"/>
      <c r="AV91" s="142"/>
      <c r="AW91" s="142"/>
      <c r="AX91" s="142"/>
      <c r="AY91" s="142"/>
      <c r="AZ91" s="142"/>
    </row>
    <row r="92" spans="3:61" ht="15.75" customHeight="1" thickBot="1">
      <c r="C92" s="647"/>
      <c r="D92" s="124" t="str">
        <f>CONCATENATE("Mesa ",'Fase Grups'!$T$12)</f>
        <v>Mesa 3</v>
      </c>
      <c r="E92" s="97" t="str">
        <f>C101</f>
        <v>M3</v>
      </c>
      <c r="F92" s="98" t="str">
        <f t="shared" si="6"/>
        <v>JOAN RALITA ROS</v>
      </c>
      <c r="G92" s="121">
        <v>30</v>
      </c>
      <c r="H92" s="645"/>
      <c r="I92" s="100">
        <f>IF(H91="","",G92/H91)</f>
        <v>0.75</v>
      </c>
      <c r="J92" s="121">
        <v>5</v>
      </c>
      <c r="K92" s="101">
        <f>IF(H91="","",IF(G92&lt;G91,0,IF(G92&gt;G91,2,1)))</f>
        <v>2</v>
      </c>
      <c r="L92" s="96"/>
      <c r="AL92" s="90"/>
      <c r="AM92" s="90"/>
      <c r="AN92" s="90"/>
      <c r="AO92" s="90"/>
      <c r="AP92" s="90"/>
      <c r="AQ92" s="90"/>
      <c r="AU92" s="141"/>
      <c r="AV92" s="141"/>
      <c r="AW92" s="141"/>
      <c r="AX92" s="141"/>
      <c r="AY92" s="141"/>
      <c r="AZ92" s="141"/>
      <c r="BD92" s="90"/>
      <c r="BE92" s="90"/>
      <c r="BF92" s="90"/>
      <c r="BG92" s="90"/>
      <c r="BH92" s="90"/>
      <c r="BI92" s="90"/>
    </row>
    <row r="93" spans="3:52" ht="15.75" customHeight="1" thickTop="1">
      <c r="C93" s="647"/>
      <c r="D93" s="196">
        <v>0.6666666666666666</v>
      </c>
      <c r="E93" s="91" t="str">
        <f>C99</f>
        <v>M1</v>
      </c>
      <c r="F93" s="92" t="str">
        <f t="shared" si="6"/>
        <v>JAVIER MARTÍNEZ ALBERTO</v>
      </c>
      <c r="G93" s="120">
        <v>21</v>
      </c>
      <c r="H93" s="644">
        <v>40</v>
      </c>
      <c r="I93" s="94">
        <f>IF(H93="","",G93/H93)</f>
        <v>0.525</v>
      </c>
      <c r="J93" s="120">
        <v>4</v>
      </c>
      <c r="K93" s="95">
        <f>IF(H93="","",IF(G93&lt;G94,0,IF(G93&gt;G94,2,1)))</f>
        <v>0</v>
      </c>
      <c r="L93" s="96"/>
      <c r="AU93" s="142"/>
      <c r="AV93" s="142"/>
      <c r="AW93" s="142"/>
      <c r="AX93" s="142"/>
      <c r="AY93" s="142"/>
      <c r="AZ93" s="142"/>
    </row>
    <row r="94" spans="3:61" ht="15.75" customHeight="1" thickBot="1">
      <c r="C94" s="647"/>
      <c r="D94" s="197" t="s">
        <v>308</v>
      </c>
      <c r="E94" s="102" t="str">
        <f>C100</f>
        <v>M2</v>
      </c>
      <c r="F94" s="103" t="str">
        <f t="shared" si="6"/>
        <v>JOHN JAIRO ZULETA GIRALDO</v>
      </c>
      <c r="G94" s="121">
        <v>30</v>
      </c>
      <c r="H94" s="645"/>
      <c r="I94" s="100">
        <f>IF(H93="","",G94/H93)</f>
        <v>0.75</v>
      </c>
      <c r="J94" s="121">
        <v>4</v>
      </c>
      <c r="K94" s="101">
        <f>IF(H93="","",IF(G94&lt;G93,0,IF(G94&gt;G93,2,1)))</f>
        <v>2</v>
      </c>
      <c r="L94" s="96"/>
      <c r="AL94" s="90"/>
      <c r="AM94" s="90"/>
      <c r="AN94" s="90"/>
      <c r="AO94" s="90"/>
      <c r="AP94" s="90"/>
      <c r="AQ94" s="90"/>
      <c r="AU94" s="141"/>
      <c r="AV94" s="141"/>
      <c r="AW94" s="141"/>
      <c r="AX94" s="141"/>
      <c r="AY94" s="141"/>
      <c r="AZ94" s="141"/>
      <c r="BD94" s="90"/>
      <c r="BE94" s="90"/>
      <c r="BF94" s="90"/>
      <c r="BG94" s="90"/>
      <c r="BH94" s="90"/>
      <c r="BI94" s="90"/>
    </row>
    <row r="95" spans="3:52" ht="15.75" customHeight="1" thickTop="1">
      <c r="C95" s="647"/>
      <c r="D95" s="123">
        <v>0.7916666666666666</v>
      </c>
      <c r="E95" s="104" t="str">
        <f>C99</f>
        <v>M1</v>
      </c>
      <c r="F95" s="105" t="str">
        <f t="shared" si="6"/>
        <v>JAVIER MARTÍNEZ ALBERTO</v>
      </c>
      <c r="G95" s="120">
        <v>30</v>
      </c>
      <c r="H95" s="644">
        <v>46</v>
      </c>
      <c r="I95" s="94">
        <f>IF(H95="","",G95/H95)</f>
        <v>0.6521739130434783</v>
      </c>
      <c r="J95" s="120">
        <v>5</v>
      </c>
      <c r="K95" s="95">
        <f>IF(H95="","",IF(G95&lt;G96,0,IF(G95&gt;G96,2,1)))</f>
        <v>2</v>
      </c>
      <c r="L95" s="96"/>
      <c r="AU95" s="142"/>
      <c r="AV95" s="142"/>
      <c r="AW95" s="142"/>
      <c r="AX95" s="142"/>
      <c r="AY95" s="142"/>
      <c r="AZ95" s="142"/>
    </row>
    <row r="96" spans="3:52" ht="15.75" customHeight="1" thickBot="1">
      <c r="C96" s="648"/>
      <c r="D96" s="197" t="s">
        <v>308</v>
      </c>
      <c r="E96" s="102" t="str">
        <f>C101</f>
        <v>M3</v>
      </c>
      <c r="F96" s="103" t="str">
        <f t="shared" si="6"/>
        <v>JOAN RALITA ROS</v>
      </c>
      <c r="G96" s="122">
        <v>12</v>
      </c>
      <c r="H96" s="645"/>
      <c r="I96" s="107">
        <f>IF(H95="","",G96/H95)</f>
        <v>0.2608695652173913</v>
      </c>
      <c r="J96" s="122">
        <v>2</v>
      </c>
      <c r="K96" s="108">
        <f>IF(H95="","",IF(G96&lt;G95,0,IF(G96&gt;G95,2,1)))</f>
        <v>0</v>
      </c>
      <c r="L96" s="96"/>
      <c r="AU96" s="142"/>
      <c r="AV96" s="142"/>
      <c r="AW96" s="142"/>
      <c r="AX96" s="142"/>
      <c r="AY96" s="142"/>
      <c r="AZ96" s="142"/>
    </row>
    <row r="97" spans="2:62" s="90" customFormat="1" ht="12">
      <c r="B97" s="179"/>
      <c r="G97" s="179">
        <f>SUM(G91:G96)</f>
        <v>145</v>
      </c>
      <c r="M97" s="109"/>
      <c r="N97" s="133"/>
      <c r="O97" s="135"/>
      <c r="P97" s="133"/>
      <c r="Q97" s="133"/>
      <c r="R97" s="133"/>
      <c r="S97" s="133"/>
      <c r="T97" s="133"/>
      <c r="U97" s="136"/>
      <c r="V97" s="135"/>
      <c r="W97" s="133"/>
      <c r="X97" s="133"/>
      <c r="Y97" s="133"/>
      <c r="Z97" s="133"/>
      <c r="AA97" s="133"/>
      <c r="AB97" s="136"/>
      <c r="AC97" s="135"/>
      <c r="AD97" s="133"/>
      <c r="AE97" s="133"/>
      <c r="AF97" s="133"/>
      <c r="AG97" s="133"/>
      <c r="AH97" s="133"/>
      <c r="AI97" s="132"/>
      <c r="AJ97" s="143"/>
      <c r="AK97" s="141"/>
      <c r="AL97" s="89"/>
      <c r="AM97" s="89"/>
      <c r="AN97" s="89"/>
      <c r="AO97" s="89"/>
      <c r="AP97" s="89"/>
      <c r="AQ97" s="89"/>
      <c r="AR97" s="132"/>
      <c r="AS97" s="143"/>
      <c r="AT97" s="141"/>
      <c r="AU97" s="142"/>
      <c r="AV97" s="142"/>
      <c r="AW97" s="142"/>
      <c r="AX97" s="142"/>
      <c r="AY97" s="142"/>
      <c r="AZ97" s="142"/>
      <c r="BA97" s="136"/>
      <c r="BB97" s="143"/>
      <c r="BC97" s="141"/>
      <c r="BD97" s="89"/>
      <c r="BE97" s="89"/>
      <c r="BF97" s="89"/>
      <c r="BG97" s="89"/>
      <c r="BH97" s="89"/>
      <c r="BI97" s="89"/>
      <c r="BJ97" s="136"/>
    </row>
    <row r="98" spans="2:52" ht="12.75" thickBot="1">
      <c r="B98" s="179" t="s">
        <v>271</v>
      </c>
      <c r="D98" s="119" t="s">
        <v>268</v>
      </c>
      <c r="E98" s="173" t="str">
        <f>C91</f>
        <v>M</v>
      </c>
      <c r="F98" s="89" t="s">
        <v>262</v>
      </c>
      <c r="G98" s="89" t="s">
        <v>263</v>
      </c>
      <c r="H98" s="89" t="s">
        <v>264</v>
      </c>
      <c r="I98" s="89" t="s">
        <v>309</v>
      </c>
      <c r="J98" s="89" t="s">
        <v>266</v>
      </c>
      <c r="K98" s="89" t="s">
        <v>301</v>
      </c>
      <c r="L98" s="89" t="s">
        <v>269</v>
      </c>
      <c r="M98" s="109" t="s">
        <v>272</v>
      </c>
      <c r="N98" s="133" t="s">
        <v>270</v>
      </c>
      <c r="AU98" s="142"/>
      <c r="AV98" s="142"/>
      <c r="AW98" s="142"/>
      <c r="AX98" s="142"/>
      <c r="AY98" s="142"/>
      <c r="AZ98" s="142"/>
    </row>
    <row r="99" spans="2:52" ht="18" thickTop="1">
      <c r="B99" s="179">
        <f>N99</f>
        <v>2</v>
      </c>
      <c r="C99" s="179" t="str">
        <f>CONCATENATE(C91,E99)</f>
        <v>M1</v>
      </c>
      <c r="D99" s="91">
        <v>29</v>
      </c>
      <c r="E99" s="93">
        <v>1</v>
      </c>
      <c r="F99" s="92" t="str">
        <f>IF(D99="","",VLOOKUP(D99,'Ranquing Inicial'!$B$6:$V$69,2,0))</f>
        <v>JAVIER MARTÍNEZ ALBERTO</v>
      </c>
      <c r="G99" s="93">
        <f>SUM(G93,G95)</f>
        <v>51</v>
      </c>
      <c r="H99" s="93">
        <f>SUM(H93,H95)</f>
        <v>86</v>
      </c>
      <c r="I99" s="111">
        <f>IF(H99="","",G99/H99)</f>
        <v>0.5930232558139535</v>
      </c>
      <c r="J99" s="93">
        <f>MAX(J93,J95)</f>
        <v>5</v>
      </c>
      <c r="K99" s="95">
        <f>SUM(K93,K95)</f>
        <v>2</v>
      </c>
      <c r="L99" s="200" t="str">
        <f>IF(ISERROR(I99),"",N99&amp;"º")</f>
        <v>2º</v>
      </c>
      <c r="M99" s="112">
        <f>IF(ISERROR(I99),"",SUM(K99,I99/1000,J99/1000000))</f>
        <v>2.000598023255814</v>
      </c>
      <c r="N99" s="133">
        <f>IF(ISERROR(I99),"",RANK(M99,M99:M101))</f>
        <v>2</v>
      </c>
      <c r="O99" s="137">
        <f>IF(N99=1,VLOOKUP(1,B99:K101,5,0),"")</f>
      </c>
      <c r="P99" s="138">
        <f>IF(N99=1,VLOOKUP(1,B99:K101,6,0),"")</f>
      </c>
      <c r="Q99" s="138">
        <f>IF(N99=1,VLOOKUP(1,B99:K101,7,0),"")</f>
      </c>
      <c r="R99" s="139">
        <f>IF(N99=1,VLOOKUP(1,B99:K101,8,0),"")</f>
      </c>
      <c r="S99" s="138">
        <f>IF(N99=1,VLOOKUP(1,B99:K101,9,0),"")</f>
      </c>
      <c r="T99" s="138">
        <f>IF(N99=1,VLOOKUP(1,B99:K101,10,0),"")</f>
      </c>
      <c r="V99" s="137" t="str">
        <f>IF(N99=2,VLOOKUP(2,B99:K101,5,0),"")</f>
        <v>JAVIER MARTÍNEZ ALBERTO</v>
      </c>
      <c r="W99" s="138">
        <f>IF(N99=2,VLOOKUP(2,B99:K101,6,0),"")</f>
        <v>51</v>
      </c>
      <c r="X99" s="138">
        <f>IF(N99=2,VLOOKUP(2,B99:K101,7,0),"")</f>
        <v>86</v>
      </c>
      <c r="Y99" s="139">
        <f>IF(N99=2,VLOOKUP(2,B99:K101,8,0),"")</f>
        <v>0.5930232558139535</v>
      </c>
      <c r="Z99" s="138">
        <f>IF(N99=2,VLOOKUP(2,B99:K101,9,0),"")</f>
        <v>5</v>
      </c>
      <c r="AA99" s="138">
        <f>IF(N99=2,VLOOKUP(2,$B$15:$K$17,10,0),"")</f>
        <v>2</v>
      </c>
      <c r="AC99" s="135">
        <f>IF(N99=3,VLOOKUP(3,B99:K101,5,0),"")</f>
      </c>
      <c r="AD99" s="138">
        <f>IF(N99=3,VLOOKUP(3,B99:K101,6,0),"")</f>
      </c>
      <c r="AE99" s="138">
        <f>IF(N99=3,VLOOKUP(3,B99:K101,7,0),"")</f>
      </c>
      <c r="AF99" s="139">
        <f>IF(N99=3,VLOOKUP(3,B99:K101,8,0),"")</f>
      </c>
      <c r="AG99" s="138">
        <f>IF(N99=3,VLOOKUP(3,B99:K101,9,0),"")</f>
      </c>
      <c r="AH99" s="138">
        <f>IF(N99=3,VLOOKUP(3,B99:K101,10,0),"")</f>
      </c>
      <c r="AU99" s="142"/>
      <c r="AV99" s="142"/>
      <c r="AW99" s="142"/>
      <c r="AX99" s="142"/>
      <c r="AY99" s="142"/>
      <c r="AZ99" s="142"/>
    </row>
    <row r="100" spans="2:52" ht="16.5">
      <c r="B100" s="179">
        <f>N100</f>
        <v>1</v>
      </c>
      <c r="C100" s="179" t="str">
        <f>CONCATENATE(C91,E100)</f>
        <v>M2</v>
      </c>
      <c r="D100" s="113">
        <v>36</v>
      </c>
      <c r="E100" s="114">
        <v>2</v>
      </c>
      <c r="F100" s="115" t="str">
        <f>IF(D100="","",VLOOKUP(D100,'Ranquing Inicial'!$B$6:$V$69,2,0))</f>
        <v>JOHN JAIRO ZULETA GIRALDO</v>
      </c>
      <c r="G100" s="114">
        <f>SUM(G91,G94)</f>
        <v>52</v>
      </c>
      <c r="H100" s="114">
        <f>SUM(H91,H93)</f>
        <v>80</v>
      </c>
      <c r="I100" s="116">
        <f>IF(H100="","",G100/H100)</f>
        <v>0.65</v>
      </c>
      <c r="J100" s="114">
        <f>MAX(J91,J94)</f>
        <v>6</v>
      </c>
      <c r="K100" s="117">
        <f>SUM(K91,K94)</f>
        <v>2</v>
      </c>
      <c r="L100" s="199" t="str">
        <f>IF(ISERROR(I100),"",N100&amp;"º")</f>
        <v>1º</v>
      </c>
      <c r="M100" s="112">
        <f>IF(ISERROR(I100),"",SUM(K100,I100/1000,J100/1000000))</f>
        <v>2.0006559999999998</v>
      </c>
      <c r="N100" s="133">
        <f>IF(ISERROR(I100),"",RANK(M100,M99:M101))</f>
        <v>1</v>
      </c>
      <c r="O100" s="137" t="str">
        <f>IF(N100=1,VLOOKUP(1,B99:K101,5,0),"")</f>
        <v>JOHN JAIRO ZULETA GIRALDO</v>
      </c>
      <c r="P100" s="138">
        <f>IF(N100=1,VLOOKUP(1,B99:K101,6,0),"")</f>
        <v>52</v>
      </c>
      <c r="Q100" s="138">
        <f>IF(N100=1,VLOOKUP(1,B99:K101,7,0),"")</f>
        <v>80</v>
      </c>
      <c r="R100" s="139">
        <f>IF(N100=1,VLOOKUP(1,B99:K101,8,0),"")</f>
        <v>0.65</v>
      </c>
      <c r="S100" s="138">
        <f>IF(N100=1,VLOOKUP(1,B99:K101,9,0),"")</f>
        <v>6</v>
      </c>
      <c r="T100" s="138">
        <f>IF(N100=1,VLOOKUP(1,B99:K101,10,0),"")</f>
        <v>2</v>
      </c>
      <c r="V100" s="137">
        <f>IF(N100=2,VLOOKUP(2,B99:K101,5,0),"")</f>
      </c>
      <c r="W100" s="138">
        <f>IF(N100=2,VLOOKUP(2,B99:K101,6,0),"")</f>
      </c>
      <c r="X100" s="138">
        <f>IF(N100=2,VLOOKUP(2,B99:K101,7,0),"")</f>
      </c>
      <c r="Y100" s="139">
        <f>IF(N100=2,VLOOKUP(2,B99:$K101,8,0),"")</f>
      </c>
      <c r="Z100" s="138">
        <f>IF(N100=2,VLOOKUP(2,B99:K101,9,0),"")</f>
      </c>
      <c r="AA100" s="138">
        <f>IF(N100=2,VLOOKUP(2,B99:K101,10,0),"")</f>
      </c>
      <c r="AC100" s="135">
        <f>IF(N100=3,VLOOKUP(3,B99:K101,5,0),"")</f>
      </c>
      <c r="AD100" s="138">
        <f>IF(N100=3,VLOOKUP(3,B99:K101,6,0),"")</f>
      </c>
      <c r="AE100" s="138">
        <f>IF(N100=3,VLOOKUP(3,B99:K101,7,0),"")</f>
      </c>
      <c r="AF100" s="139">
        <f>IF(N100=3,VLOOKUP(3,B99:K101,8,0),"")</f>
      </c>
      <c r="AG100" s="138">
        <f>IF(N100=3,VLOOKUP(3,B99:K101,9,0),"")</f>
      </c>
      <c r="AH100" s="138">
        <f>IF(N100=3,VLOOKUP(3,B99:K101,10,0),"")</f>
      </c>
      <c r="AU100" s="142"/>
      <c r="AV100" s="142"/>
      <c r="AW100" s="142"/>
      <c r="AX100" s="142"/>
      <c r="AY100" s="142"/>
      <c r="AZ100" s="142"/>
    </row>
    <row r="101" spans="2:52" ht="18" thickBot="1">
      <c r="B101" s="179">
        <f>N101</f>
        <v>3</v>
      </c>
      <c r="C101" s="179" t="str">
        <f>CONCATENATE(C91,E101)</f>
        <v>M3</v>
      </c>
      <c r="D101" s="102">
        <v>52</v>
      </c>
      <c r="E101" s="106">
        <v>3</v>
      </c>
      <c r="F101" s="103" t="str">
        <f>IF(D101="","",VLOOKUP(D101,'Ranquing Inicial'!$B$6:$V$69,2,0))</f>
        <v>JOAN RALITA ROS</v>
      </c>
      <c r="G101" s="106">
        <f>SUM(G92,G96)</f>
        <v>42</v>
      </c>
      <c r="H101" s="106">
        <f>SUM(H91,H95)</f>
        <v>86</v>
      </c>
      <c r="I101" s="118">
        <f>IF(H101="","",G101/H101)</f>
        <v>0.4883720930232558</v>
      </c>
      <c r="J101" s="106">
        <f>MAX(J92,J96)</f>
        <v>5</v>
      </c>
      <c r="K101" s="108">
        <f>SUM(K92,K96)</f>
        <v>2</v>
      </c>
      <c r="L101" s="201" t="str">
        <f>IF(ISERROR(I101),"",N101&amp;"º")</f>
        <v>3º</v>
      </c>
      <c r="M101" s="112">
        <f>IF(ISERROR(I101),"",SUM(K101,I101/1000,J101/1000000))</f>
        <v>2.000493372093023</v>
      </c>
      <c r="N101" s="133">
        <f>IF(ISERROR(I101),"",RANK(M101,M99:M101))</f>
        <v>3</v>
      </c>
      <c r="O101" s="137">
        <f>IF(N101=1,VLOOKUP(1,B99:K101,5,0),"")</f>
      </c>
      <c r="P101" s="138">
        <f>IF(N101=1,VLOOKUP(1,B99:K101,6,0),"")</f>
      </c>
      <c r="Q101" s="138">
        <f>IF(N101=1,VLOOKUP(1,B99:K101,7,0),"")</f>
      </c>
      <c r="R101" s="139">
        <f>IF(N101=1,VLOOKUP(1,B99:K101,8,0),"")</f>
      </c>
      <c r="S101" s="138">
        <f>IF(N101=1,VLOOKUP(1,B99:K101,9,0),"")</f>
      </c>
      <c r="T101" s="138">
        <f>IF(N101=1,VLOOKUP(1,B99:K101,10,0),"")</f>
      </c>
      <c r="V101" s="135">
        <f>IF(N101=2,VLOOKUP(2,B99:K101,5,0),"")</f>
      </c>
      <c r="W101" s="138">
        <f>IF(N101=2,VLOOKUP(2,B99:K101,6,0),"")</f>
      </c>
      <c r="X101" s="138">
        <f>IF(N101=2,VLOOKUP(2,B99:K101,7,0),"")</f>
      </c>
      <c r="Y101" s="139">
        <f>IF(N101=2,VLOOKUP(2,B99:K101,8,0),"")</f>
      </c>
      <c r="Z101" s="138">
        <f>IF(N101=2,VLOOKUP(2,B99:K101,9,0),"")</f>
      </c>
      <c r="AA101" s="138">
        <f>IF(N101=2,VLOOKUP(2,B99:K101,10,0),"")</f>
      </c>
      <c r="AC101" s="135" t="str">
        <f>IF(N101=3,VLOOKUP(3,B99:K101,5,0),"")</f>
        <v>JOAN RALITA ROS</v>
      </c>
      <c r="AD101" s="138">
        <f>IF(N101=3,VLOOKUP(3,B99:K101,6,0),"")</f>
        <v>42</v>
      </c>
      <c r="AE101" s="138">
        <f>IF(N101=3,VLOOKUP(3,B99:K101,7,0),"")</f>
        <v>86</v>
      </c>
      <c r="AF101" s="139">
        <f>IF(N101=3,VLOOKUP(3,B99:K101,8,0),"")</f>
        <v>0.4883720930232558</v>
      </c>
      <c r="AG101" s="138">
        <f>IF(N101=3,VLOOKUP(3,B99:K101,9,0),"")</f>
        <v>5</v>
      </c>
      <c r="AH101" s="138">
        <f>IF(N101=3,VLOOKUP(3,B99:K101,10,0),"")</f>
        <v>2</v>
      </c>
      <c r="AU101" s="142"/>
      <c r="AV101" s="142"/>
      <c r="AW101" s="142"/>
      <c r="AX101" s="142"/>
      <c r="AY101" s="142"/>
      <c r="AZ101" s="142"/>
    </row>
    <row r="102" spans="2:62" s="90" customFormat="1" ht="12.75" thickTop="1">
      <c r="B102" s="179"/>
      <c r="I102" s="180">
        <f>MAX(I99:I101)</f>
        <v>0.65</v>
      </c>
      <c r="J102" s="179"/>
      <c r="K102" s="179">
        <f>SUM(K99:K101)</f>
        <v>6</v>
      </c>
      <c r="L102" s="179">
        <f>MODE(K99:K101)</f>
        <v>2</v>
      </c>
      <c r="M102" s="109"/>
      <c r="N102" s="133"/>
      <c r="O102" s="135"/>
      <c r="P102" s="133"/>
      <c r="Q102" s="133"/>
      <c r="R102" s="133"/>
      <c r="S102" s="133"/>
      <c r="T102" s="133"/>
      <c r="U102" s="136"/>
      <c r="V102" s="135"/>
      <c r="W102" s="133"/>
      <c r="X102" s="133"/>
      <c r="Y102" s="133"/>
      <c r="Z102" s="133"/>
      <c r="AA102" s="133"/>
      <c r="AB102" s="136"/>
      <c r="AC102" s="135"/>
      <c r="AD102" s="133"/>
      <c r="AE102" s="133"/>
      <c r="AF102" s="133"/>
      <c r="AG102" s="133"/>
      <c r="AH102" s="133"/>
      <c r="AI102" s="132"/>
      <c r="AJ102" s="143"/>
      <c r="AK102" s="141"/>
      <c r="AL102" s="89"/>
      <c r="AM102" s="89"/>
      <c r="AN102" s="89"/>
      <c r="AO102" s="89"/>
      <c r="AP102" s="89"/>
      <c r="AQ102" s="89"/>
      <c r="AR102" s="132"/>
      <c r="AS102" s="143"/>
      <c r="AT102" s="141"/>
      <c r="AU102" s="142"/>
      <c r="AV102" s="142"/>
      <c r="AW102" s="142"/>
      <c r="AX102" s="142"/>
      <c r="AY102" s="142"/>
      <c r="AZ102" s="142"/>
      <c r="BA102" s="136"/>
      <c r="BB102" s="143"/>
      <c r="BC102" s="141"/>
      <c r="BD102" s="89"/>
      <c r="BE102" s="89"/>
      <c r="BF102" s="89"/>
      <c r="BG102" s="89"/>
      <c r="BH102" s="89"/>
      <c r="BI102" s="89"/>
      <c r="BJ102" s="136"/>
    </row>
    <row r="103" spans="38:61" ht="12">
      <c r="AL103" s="90"/>
      <c r="AM103" s="90"/>
      <c r="AN103" s="90"/>
      <c r="AO103" s="90"/>
      <c r="AP103" s="90"/>
      <c r="AQ103" s="90"/>
      <c r="AU103" s="141"/>
      <c r="AV103" s="141"/>
      <c r="AW103" s="141"/>
      <c r="AX103" s="141"/>
      <c r="AY103" s="141"/>
      <c r="AZ103" s="141"/>
      <c r="BD103" s="90"/>
      <c r="BE103" s="90"/>
      <c r="BF103" s="90"/>
      <c r="BG103" s="90"/>
      <c r="BH103" s="90"/>
      <c r="BI103" s="90"/>
    </row>
    <row r="104" spans="6:52" ht="12.75" thickBot="1">
      <c r="F104" s="89" t="s">
        <v>262</v>
      </c>
      <c r="G104" s="89" t="s">
        <v>263</v>
      </c>
      <c r="H104" s="89" t="s">
        <v>264</v>
      </c>
      <c r="I104" s="89" t="s">
        <v>309</v>
      </c>
      <c r="J104" s="89" t="s">
        <v>266</v>
      </c>
      <c r="K104" s="89" t="s">
        <v>301</v>
      </c>
      <c r="AU104" s="142"/>
      <c r="AV104" s="142"/>
      <c r="AW104" s="142"/>
      <c r="AX104" s="142"/>
      <c r="AY104" s="142"/>
      <c r="AZ104" s="142"/>
    </row>
    <row r="105" spans="3:61" ht="15.75" customHeight="1" thickTop="1">
      <c r="C105" s="646" t="str">
        <f>'Fase Grups'!S5</f>
        <v>O</v>
      </c>
      <c r="D105" s="123">
        <v>0.6666666666666666</v>
      </c>
      <c r="E105" s="91" t="str">
        <f>C114</f>
        <v>O2</v>
      </c>
      <c r="F105" s="92" t="str">
        <f aca="true" t="shared" si="7" ref="F105:F110">VLOOKUP(E105,$C$113:$F$115,4,1)</f>
        <v>MANUEL CUENCA PARDO</v>
      </c>
      <c r="G105" s="93">
        <v>24</v>
      </c>
      <c r="H105" s="639">
        <v>50</v>
      </c>
      <c r="I105" s="94">
        <f>IF(H105="","",G105/H105)</f>
        <v>0.48</v>
      </c>
      <c r="J105" s="93">
        <v>3</v>
      </c>
      <c r="K105" s="95">
        <f>IF(H105="","",IF(G105&lt;G106,0,IF(G105&gt;G106,2,1)))</f>
        <v>0</v>
      </c>
      <c r="L105" s="96"/>
      <c r="AL105" s="90"/>
      <c r="AM105" s="90"/>
      <c r="AN105" s="90"/>
      <c r="AO105" s="90"/>
      <c r="AP105" s="90"/>
      <c r="AQ105" s="90"/>
      <c r="AU105" s="141"/>
      <c r="AV105" s="141"/>
      <c r="AW105" s="141"/>
      <c r="AX105" s="141"/>
      <c r="AY105" s="141"/>
      <c r="AZ105" s="141"/>
      <c r="BD105" s="90"/>
      <c r="BE105" s="90"/>
      <c r="BF105" s="90"/>
      <c r="BG105" s="90"/>
      <c r="BH105" s="90"/>
      <c r="BI105" s="90"/>
    </row>
    <row r="106" spans="3:52" ht="15.75" customHeight="1" thickBot="1">
      <c r="C106" s="647"/>
      <c r="D106" s="124" t="str">
        <f>CONCATENATE("Mesa ",'Fase Grups'!$V$12)</f>
        <v>Mesa 4</v>
      </c>
      <c r="E106" s="97" t="str">
        <f>C115</f>
        <v>O3</v>
      </c>
      <c r="F106" s="98" t="str">
        <f t="shared" si="7"/>
        <v>ENRIQUE YAÑEZ ACUÑA</v>
      </c>
      <c r="G106" s="99">
        <v>27</v>
      </c>
      <c r="H106" s="640"/>
      <c r="I106" s="100">
        <f>IF(H105="","",G106/H105)</f>
        <v>0.54</v>
      </c>
      <c r="J106" s="99">
        <v>3</v>
      </c>
      <c r="K106" s="101">
        <f>IF(H105="","",IF(G106&lt;G105,0,IF(G106&gt;G105,2,1)))</f>
        <v>2</v>
      </c>
      <c r="L106" s="96"/>
      <c r="AU106" s="142"/>
      <c r="AV106" s="142"/>
      <c r="AW106" s="142"/>
      <c r="AX106" s="142"/>
      <c r="AY106" s="142"/>
      <c r="AZ106" s="142"/>
    </row>
    <row r="107" spans="3:52" ht="15.75" customHeight="1" thickTop="1">
      <c r="C107" s="647"/>
      <c r="D107" s="123"/>
      <c r="E107" s="91" t="str">
        <f>C113</f>
        <v>O1</v>
      </c>
      <c r="F107" s="92" t="str">
        <f t="shared" si="7"/>
        <v>YHOJAN DEIBIS FERNÁNDEZ</v>
      </c>
      <c r="G107" s="93">
        <v>18</v>
      </c>
      <c r="H107" s="639">
        <v>50</v>
      </c>
      <c r="I107" s="94">
        <f>IF(H107="","",G107/H107)</f>
        <v>0.36</v>
      </c>
      <c r="J107" s="93">
        <v>2</v>
      </c>
      <c r="K107" s="95">
        <f>IF(H107="","",IF(G107&lt;G108,0,IF(G107&gt;G108,2,1)))</f>
        <v>0</v>
      </c>
      <c r="L107" s="96"/>
      <c r="AU107" s="142"/>
      <c r="AV107" s="142"/>
      <c r="AW107" s="142"/>
      <c r="AX107" s="142"/>
      <c r="AY107" s="142"/>
      <c r="AZ107" s="142"/>
    </row>
    <row r="108" spans="3:52" ht="15.75" customHeight="1" thickBot="1">
      <c r="C108" s="647"/>
      <c r="D108" s="197" t="s">
        <v>307</v>
      </c>
      <c r="E108" s="102" t="str">
        <f>C114</f>
        <v>O2</v>
      </c>
      <c r="F108" s="103" t="str">
        <f t="shared" si="7"/>
        <v>MANUEL CUENCA PARDO</v>
      </c>
      <c r="G108" s="99">
        <v>22</v>
      </c>
      <c r="H108" s="640"/>
      <c r="I108" s="100">
        <f>IF(H107="","",G108/H107)</f>
        <v>0.44</v>
      </c>
      <c r="J108" s="99">
        <v>2</v>
      </c>
      <c r="K108" s="101">
        <f>IF(H107="","",IF(G108&lt;G107,0,IF(G108&gt;G107,2,1)))</f>
        <v>2</v>
      </c>
      <c r="L108" s="96"/>
      <c r="AU108" s="142"/>
      <c r="AV108" s="142"/>
      <c r="AW108" s="142"/>
      <c r="AX108" s="142"/>
      <c r="AY108" s="142"/>
      <c r="AZ108" s="142"/>
    </row>
    <row r="109" spans="3:52" ht="15.75" customHeight="1" thickTop="1">
      <c r="C109" s="647"/>
      <c r="D109" s="196"/>
      <c r="E109" s="104" t="str">
        <f>C113</f>
        <v>O1</v>
      </c>
      <c r="F109" s="105" t="str">
        <f t="shared" si="7"/>
        <v>YHOJAN DEIBIS FERNÁNDEZ</v>
      </c>
      <c r="G109" s="93">
        <v>28</v>
      </c>
      <c r="H109" s="639">
        <v>50</v>
      </c>
      <c r="I109" s="94">
        <f>IF(H109="","",G109/H109)</f>
        <v>0.56</v>
      </c>
      <c r="J109" s="93">
        <v>6</v>
      </c>
      <c r="K109" s="95">
        <f>IF(H109="","",IF(G109&lt;G110,0,IF(G109&gt;G110,2,1)))</f>
        <v>2</v>
      </c>
      <c r="L109" s="96"/>
      <c r="AU109" s="142"/>
      <c r="AV109" s="142"/>
      <c r="AW109" s="142"/>
      <c r="AX109" s="142"/>
      <c r="AY109" s="142"/>
      <c r="AZ109" s="142"/>
    </row>
    <row r="110" spans="3:52" ht="15.75" customHeight="1" thickBot="1">
      <c r="C110" s="648"/>
      <c r="D110" s="197" t="s">
        <v>307</v>
      </c>
      <c r="E110" s="102" t="str">
        <f>C115</f>
        <v>O3</v>
      </c>
      <c r="F110" s="103" t="str">
        <f t="shared" si="7"/>
        <v>ENRIQUE YAÑEZ ACUÑA</v>
      </c>
      <c r="G110" s="106">
        <v>24</v>
      </c>
      <c r="H110" s="640"/>
      <c r="I110" s="107">
        <f>IF(H109="","",G110/H109)</f>
        <v>0.48</v>
      </c>
      <c r="J110" s="106">
        <v>3</v>
      </c>
      <c r="K110" s="108">
        <f>IF(H109="","",IF(G110&lt;G109,0,IF(G110&gt;G109,2,1)))</f>
        <v>0</v>
      </c>
      <c r="L110" s="96"/>
      <c r="AU110" s="142"/>
      <c r="AV110" s="142"/>
      <c r="AW110" s="142"/>
      <c r="AX110" s="142"/>
      <c r="AY110" s="142"/>
      <c r="AZ110" s="142"/>
    </row>
    <row r="111" spans="2:62" s="90" customFormat="1" ht="12">
      <c r="B111" s="179"/>
      <c r="G111" s="179">
        <f>SUM(G105:G110)</f>
        <v>143</v>
      </c>
      <c r="M111" s="109"/>
      <c r="N111" s="133"/>
      <c r="O111" s="135"/>
      <c r="P111" s="133"/>
      <c r="Q111" s="133"/>
      <c r="R111" s="133"/>
      <c r="S111" s="133"/>
      <c r="T111" s="133"/>
      <c r="U111" s="136"/>
      <c r="V111" s="135"/>
      <c r="W111" s="133"/>
      <c r="X111" s="133"/>
      <c r="Y111" s="133"/>
      <c r="Z111" s="133"/>
      <c r="AA111" s="133"/>
      <c r="AB111" s="136"/>
      <c r="AC111" s="135"/>
      <c r="AD111" s="133"/>
      <c r="AE111" s="133"/>
      <c r="AF111" s="133"/>
      <c r="AG111" s="133"/>
      <c r="AH111" s="133"/>
      <c r="AI111" s="132"/>
      <c r="AJ111" s="143"/>
      <c r="AK111" s="141"/>
      <c r="AL111" s="89"/>
      <c r="AM111" s="89"/>
      <c r="AN111" s="89"/>
      <c r="AO111" s="89"/>
      <c r="AP111" s="89"/>
      <c r="AQ111" s="89"/>
      <c r="AR111" s="132"/>
      <c r="AS111" s="143"/>
      <c r="AT111" s="141"/>
      <c r="AU111" s="142"/>
      <c r="AV111" s="142"/>
      <c r="AW111" s="142"/>
      <c r="AX111" s="142"/>
      <c r="AY111" s="142"/>
      <c r="AZ111" s="142"/>
      <c r="BA111" s="136"/>
      <c r="BB111" s="143"/>
      <c r="BC111" s="141"/>
      <c r="BD111" s="89"/>
      <c r="BE111" s="89"/>
      <c r="BF111" s="89"/>
      <c r="BG111" s="89"/>
      <c r="BH111" s="89"/>
      <c r="BI111" s="89"/>
      <c r="BJ111" s="136"/>
    </row>
    <row r="112" spans="2:52" ht="12.75" thickBot="1">
      <c r="B112" s="179" t="s">
        <v>271</v>
      </c>
      <c r="D112" s="119" t="s">
        <v>268</v>
      </c>
      <c r="E112" s="173" t="str">
        <f>C105</f>
        <v>O</v>
      </c>
      <c r="F112" s="89" t="s">
        <v>262</v>
      </c>
      <c r="G112" s="89" t="s">
        <v>263</v>
      </c>
      <c r="H112" s="89" t="s">
        <v>264</v>
      </c>
      <c r="I112" s="89" t="s">
        <v>309</v>
      </c>
      <c r="J112" s="89" t="s">
        <v>266</v>
      </c>
      <c r="K112" s="89" t="s">
        <v>301</v>
      </c>
      <c r="L112" s="89" t="s">
        <v>269</v>
      </c>
      <c r="M112" s="109" t="s">
        <v>272</v>
      </c>
      <c r="N112" s="133" t="s">
        <v>270</v>
      </c>
      <c r="AU112" s="142"/>
      <c r="AV112" s="142"/>
      <c r="AW112" s="142"/>
      <c r="AX112" s="142"/>
      <c r="AY112" s="142"/>
      <c r="AZ112" s="142"/>
    </row>
    <row r="113" spans="2:52" ht="18" thickTop="1">
      <c r="B113" s="179">
        <f>N113</f>
        <v>2</v>
      </c>
      <c r="C113" s="179" t="str">
        <f>CONCATENATE(C105,E113)</f>
        <v>O1</v>
      </c>
      <c r="D113" s="91">
        <v>31</v>
      </c>
      <c r="E113" s="93">
        <v>1</v>
      </c>
      <c r="F113" s="92" t="str">
        <f>IF(D113="","",VLOOKUP(D113,'Ranquing Inicial'!$B$6:$V$69,2,0))</f>
        <v>YHOJAN DEIBIS FERNÁNDEZ</v>
      </c>
      <c r="G113" s="93">
        <f>SUM(G107,G109)</f>
        <v>46</v>
      </c>
      <c r="H113" s="93">
        <f>SUM(H107,H109)</f>
        <v>100</v>
      </c>
      <c r="I113" s="111">
        <f>IF(H113="","",G113/H113)</f>
        <v>0.46</v>
      </c>
      <c r="J113" s="93">
        <f>MAX(J107,J109)</f>
        <v>6</v>
      </c>
      <c r="K113" s="95">
        <f>SUM(K107,K109)</f>
        <v>2</v>
      </c>
      <c r="L113" s="200" t="str">
        <f>IF(ISERROR(I113),"",N113&amp;"º")</f>
        <v>2º</v>
      </c>
      <c r="M113" s="112">
        <f>IF(ISERROR(I113),"",SUM(K113,I113/1000,J113/1000000))</f>
        <v>2.000466</v>
      </c>
      <c r="N113" s="133">
        <f>IF(ISERROR(I113),"",RANK(M113,M113:M115))</f>
        <v>2</v>
      </c>
      <c r="O113" s="137">
        <f>IF(N113=1,VLOOKUP(1,B113:K115,5,0),"")</f>
      </c>
      <c r="P113" s="138">
        <f>IF(N113=1,VLOOKUP(1,B113:K115,6,0),"")</f>
      </c>
      <c r="Q113" s="138">
        <f>IF(N113=1,VLOOKUP(1,B113:K115,7,0),"")</f>
      </c>
      <c r="R113" s="139">
        <f>IF(N113=1,VLOOKUP(1,B113:K115,8,0),"")</f>
      </c>
      <c r="S113" s="138">
        <f>IF(N113=1,VLOOKUP(1,B113:K115,9,0),"")</f>
      </c>
      <c r="T113" s="138">
        <f>IF(N113=1,VLOOKUP(1,B113:K115,10,0),"")</f>
      </c>
      <c r="V113" s="137" t="str">
        <f>IF(N113=2,VLOOKUP(2,B113:K115,5,0),"")</f>
        <v>YHOJAN DEIBIS FERNÁNDEZ</v>
      </c>
      <c r="W113" s="138">
        <f>IF(N113=2,VLOOKUP(2,B113:K115,6,0),"")</f>
        <v>46</v>
      </c>
      <c r="X113" s="138">
        <f>IF(N113=2,VLOOKUP(2,B113:K115,7,0),"")</f>
        <v>100</v>
      </c>
      <c r="Y113" s="139">
        <f>IF(N113=2,VLOOKUP(2,B113:K115,8,0),"")</f>
        <v>0.46</v>
      </c>
      <c r="Z113" s="138">
        <f>IF(N113=2,VLOOKUP(2,B113:K115,9,0),"")</f>
        <v>6</v>
      </c>
      <c r="AA113" s="138">
        <f>IF(N113=2,VLOOKUP(2,$B$15:$K$17,10,0),"")</f>
        <v>2</v>
      </c>
      <c r="AC113" s="135">
        <f>IF(N113=3,VLOOKUP(3,B113:K115,5,0),"")</f>
      </c>
      <c r="AD113" s="138">
        <f>IF(N113=3,VLOOKUP(3,B113:K115,6,0),"")</f>
      </c>
      <c r="AE113" s="138">
        <f>IF(N113=3,VLOOKUP(3,B113:K115,7,0),"")</f>
      </c>
      <c r="AF113" s="139">
        <f>IF(N113=3,VLOOKUP(3,B113:K115,8,0),"")</f>
      </c>
      <c r="AG113" s="138">
        <f>IF(N113=3,VLOOKUP(3,B113:K115,9,0),"")</f>
      </c>
      <c r="AH113" s="138">
        <f>IF(N113=3,VLOOKUP(3,B113:K115,10,0),"")</f>
      </c>
      <c r="AU113" s="142"/>
      <c r="AV113" s="142"/>
      <c r="AW113" s="142"/>
      <c r="AX113" s="142"/>
      <c r="AY113" s="142"/>
      <c r="AZ113" s="142"/>
    </row>
    <row r="114" spans="2:61" ht="16.5">
      <c r="B114" s="179">
        <f>N114</f>
        <v>3</v>
      </c>
      <c r="C114" s="179" t="str">
        <f>CONCATENATE(C105,E114)</f>
        <v>O2</v>
      </c>
      <c r="D114" s="113">
        <v>34</v>
      </c>
      <c r="E114" s="114">
        <v>2</v>
      </c>
      <c r="F114" s="115" t="str">
        <f>IF(D114="","",VLOOKUP(D114,'Ranquing Inicial'!$B$6:$V$69,2,0))</f>
        <v>MANUEL CUENCA PARDO</v>
      </c>
      <c r="G114" s="114">
        <f>SUM(G105,G108)</f>
        <v>46</v>
      </c>
      <c r="H114" s="114">
        <f>SUM(H105,H107)</f>
        <v>100</v>
      </c>
      <c r="I114" s="116">
        <f>IF(H114="","",G114/H114)</f>
        <v>0.46</v>
      </c>
      <c r="J114" s="114">
        <f>MAX(J105,J108)</f>
        <v>3</v>
      </c>
      <c r="K114" s="117">
        <f>SUM(K105,K108)</f>
        <v>2</v>
      </c>
      <c r="L114" s="199" t="str">
        <f>IF(ISERROR(I114),"",N114&amp;"º")</f>
        <v>3º</v>
      </c>
      <c r="M114" s="112">
        <f>IF(ISERROR(I114),"",SUM(K114,I114/1000,J114/1000000))</f>
        <v>2.000463</v>
      </c>
      <c r="N114" s="133">
        <f>IF(ISERROR(I114),"",RANK(M114,M113:M115))</f>
        <v>3</v>
      </c>
      <c r="O114" s="137">
        <f>IF(N114=1,VLOOKUP(1,B113:K115,5,0),"")</f>
      </c>
      <c r="P114" s="138">
        <f>IF(N114=1,VLOOKUP(1,B113:K115,6,0),"")</f>
      </c>
      <c r="Q114" s="138">
        <f>IF(N114=1,VLOOKUP(1,B113:K115,7,0),"")</f>
      </c>
      <c r="R114" s="139">
        <f>IF(N114=1,VLOOKUP(1,B113:K115,8,0),"")</f>
      </c>
      <c r="S114" s="138">
        <f>IF(N114=1,VLOOKUP(1,B113:K115,9,0),"")</f>
      </c>
      <c r="T114" s="138">
        <f>IF(N114=1,VLOOKUP(1,B113:K115,10,0),"")</f>
      </c>
      <c r="V114" s="137">
        <f>IF(N114=2,VLOOKUP(2,B113:K115,5,0),"")</f>
      </c>
      <c r="W114" s="138">
        <f>IF(N114=2,VLOOKUP(2,B113:K115,6,0),"")</f>
      </c>
      <c r="X114" s="138">
        <f>IF(N114=2,VLOOKUP(2,B113:K115,7,0),"")</f>
      </c>
      <c r="Y114" s="139">
        <f>IF(N114=2,VLOOKUP(2,B113:$K115,8,0),"")</f>
      </c>
      <c r="Z114" s="138">
        <f>IF(N114=2,VLOOKUP(2,B113:K115,9,0),"")</f>
      </c>
      <c r="AA114" s="138">
        <f>IF(N114=2,VLOOKUP(2,B113:K115,10,0),"")</f>
      </c>
      <c r="AC114" s="135" t="str">
        <f>IF(N114=3,VLOOKUP(3,B113:K115,5,0),"")</f>
        <v>MANUEL CUENCA PARDO</v>
      </c>
      <c r="AD114" s="138">
        <f>IF(N114=3,VLOOKUP(3,B113:K115,6,0),"")</f>
        <v>46</v>
      </c>
      <c r="AE114" s="138">
        <f>IF(N114=3,VLOOKUP(3,B113:K115,7,0),"")</f>
        <v>100</v>
      </c>
      <c r="AF114" s="139">
        <f>IF(N114=3,VLOOKUP(3,B113:K115,8,0),"")</f>
        <v>0.46</v>
      </c>
      <c r="AG114" s="138">
        <f>IF(N114=3,VLOOKUP(3,B113:K115,9,0),"")</f>
        <v>3</v>
      </c>
      <c r="AH114" s="138">
        <f>IF(N114=3,VLOOKUP(3,B113:K115,10,0),"")</f>
        <v>2</v>
      </c>
      <c r="AL114" s="90"/>
      <c r="AM114" s="90"/>
      <c r="AN114" s="90"/>
      <c r="AO114" s="90"/>
      <c r="AP114" s="90"/>
      <c r="AQ114" s="90"/>
      <c r="AU114" s="141"/>
      <c r="AV114" s="141"/>
      <c r="AW114" s="141"/>
      <c r="AX114" s="141"/>
      <c r="AY114" s="141"/>
      <c r="AZ114" s="141"/>
      <c r="BD114" s="90"/>
      <c r="BE114" s="90"/>
      <c r="BF114" s="90"/>
      <c r="BG114" s="90"/>
      <c r="BH114" s="90"/>
      <c r="BI114" s="90"/>
    </row>
    <row r="115" spans="2:52" ht="18" thickBot="1">
      <c r="B115" s="179">
        <f>N115</f>
        <v>1</v>
      </c>
      <c r="C115" s="179" t="str">
        <f>CONCATENATE(C105,E115)</f>
        <v>O3</v>
      </c>
      <c r="D115" s="102">
        <v>50</v>
      </c>
      <c r="E115" s="106">
        <v>3</v>
      </c>
      <c r="F115" s="103" t="str">
        <f>IF(D115="","",VLOOKUP(D115,'Ranquing Inicial'!$B$6:$V$69,2,0))</f>
        <v>ENRIQUE YAÑEZ ACUÑA</v>
      </c>
      <c r="G115" s="106">
        <f>SUM(G106,G110)</f>
        <v>51</v>
      </c>
      <c r="H115" s="106">
        <f>SUM(H105,H109)</f>
        <v>100</v>
      </c>
      <c r="I115" s="118">
        <f>IF(H115="","",G115/H115)</f>
        <v>0.51</v>
      </c>
      <c r="J115" s="106">
        <f>MAX(J106,J110)</f>
        <v>3</v>
      </c>
      <c r="K115" s="108">
        <f>SUM(K106,K110)</f>
        <v>2</v>
      </c>
      <c r="L115" s="201" t="str">
        <f>IF(ISERROR(I115),"",N115&amp;"º")</f>
        <v>1º</v>
      </c>
      <c r="M115" s="112">
        <f>IF(ISERROR(I115),"",SUM(K115,I115/1000,J115/1000000))</f>
        <v>2.0005129999999998</v>
      </c>
      <c r="N115" s="133">
        <f>IF(ISERROR(I115),"",RANK(M115,M113:M115))</f>
        <v>1</v>
      </c>
      <c r="O115" s="137" t="str">
        <f>IF(N115=1,VLOOKUP(1,B113:K115,5,0),"")</f>
        <v>ENRIQUE YAÑEZ ACUÑA</v>
      </c>
      <c r="P115" s="138">
        <f>IF(N115=1,VLOOKUP(1,B113:K115,6,0),"")</f>
        <v>51</v>
      </c>
      <c r="Q115" s="138">
        <f>IF(N115=1,VLOOKUP(1,B113:K115,7,0),"")</f>
        <v>100</v>
      </c>
      <c r="R115" s="139">
        <f>IF(N115=1,VLOOKUP(1,B113:K115,8,0),"")</f>
        <v>0.51</v>
      </c>
      <c r="S115" s="138">
        <f>IF(N115=1,VLOOKUP(1,B113:K115,9,0),"")</f>
        <v>3</v>
      </c>
      <c r="T115" s="138">
        <f>IF(N115=1,VLOOKUP(1,B113:K115,10,0),"")</f>
        <v>2</v>
      </c>
      <c r="V115" s="135">
        <f>IF(N115=2,VLOOKUP(2,B113:K115,5,0),"")</f>
      </c>
      <c r="W115" s="138">
        <f>IF(N115=2,VLOOKUP(2,B113:K115,6,0),"")</f>
      </c>
      <c r="X115" s="138">
        <f>IF(N115=2,VLOOKUP(2,B113:K115,7,0),"")</f>
      </c>
      <c r="Y115" s="139">
        <f>IF(N115=2,VLOOKUP(2,B113:K115,8,0),"")</f>
      </c>
      <c r="Z115" s="138">
        <f>IF(N115=2,VLOOKUP(2,B113:K115,9,0),"")</f>
      </c>
      <c r="AA115" s="138">
        <f>IF(N115=2,VLOOKUP(2,B113:K115,10,0),"")</f>
      </c>
      <c r="AC115" s="135">
        <f>IF(N115=3,VLOOKUP(3,B113:K115,5,0),"")</f>
      </c>
      <c r="AD115" s="138">
        <f>IF(N115=3,VLOOKUP(3,B113:K115,6,0),"")</f>
      </c>
      <c r="AE115" s="138">
        <f>IF(N115=3,VLOOKUP(3,B113:K115,7,0),"")</f>
      </c>
      <c r="AF115" s="139">
        <f>IF(N115=3,VLOOKUP(3,B113:K115,8,0),"")</f>
      </c>
      <c r="AG115" s="138">
        <f>IF(N115=3,VLOOKUP(3,B113:K115,9,0),"")</f>
      </c>
      <c r="AH115" s="138">
        <f>IF(N115=3,VLOOKUP(3,B113:K115,10,0),"")</f>
      </c>
      <c r="AU115" s="142"/>
      <c r="AV115" s="142"/>
      <c r="AW115" s="142"/>
      <c r="AX115" s="142"/>
      <c r="AY115" s="142"/>
      <c r="AZ115" s="142"/>
    </row>
    <row r="116" spans="3:61" ht="11.25" customHeight="1" thickTop="1">
      <c r="C116" s="90"/>
      <c r="D116" s="90"/>
      <c r="E116" s="90"/>
      <c r="F116" s="90"/>
      <c r="G116" s="90"/>
      <c r="H116" s="90"/>
      <c r="I116" s="180">
        <f>MAX(I113:I115)</f>
        <v>0.51</v>
      </c>
      <c r="J116" s="179"/>
      <c r="K116" s="179">
        <f>SUM(K113:K115)</f>
        <v>6</v>
      </c>
      <c r="L116" s="179">
        <f>MODE(K113:K115)</f>
        <v>2</v>
      </c>
      <c r="AJ116" s="144"/>
      <c r="AK116" s="88"/>
      <c r="AL116" s="130"/>
      <c r="AM116" s="130"/>
      <c r="AN116" s="130"/>
      <c r="AO116" s="130"/>
      <c r="AP116" s="130"/>
      <c r="AQ116" s="130"/>
      <c r="AR116" s="144"/>
      <c r="AS116" s="144"/>
      <c r="AT116" s="88"/>
      <c r="AU116" s="130"/>
      <c r="AV116" s="130"/>
      <c r="AW116" s="130"/>
      <c r="AX116" s="130"/>
      <c r="AY116" s="130"/>
      <c r="AZ116" s="130"/>
      <c r="BA116" s="140"/>
      <c r="BB116" s="144"/>
      <c r="BC116" s="88"/>
      <c r="BD116" s="130"/>
      <c r="BE116" s="130"/>
      <c r="BF116" s="130"/>
      <c r="BG116" s="130"/>
      <c r="BH116" s="130"/>
      <c r="BI116" s="130"/>
    </row>
  </sheetData>
  <sheetProtection/>
  <mergeCells count="34">
    <mergeCell ref="C91:C96"/>
    <mergeCell ref="H91:H92"/>
    <mergeCell ref="H93:H94"/>
    <mergeCell ref="H95:H96"/>
    <mergeCell ref="C105:C110"/>
    <mergeCell ref="H105:H106"/>
    <mergeCell ref="H107:H108"/>
    <mergeCell ref="H109:H110"/>
    <mergeCell ref="H51:H52"/>
    <mergeCell ref="H53:H54"/>
    <mergeCell ref="C77:C82"/>
    <mergeCell ref="H77:H78"/>
    <mergeCell ref="H79:H80"/>
    <mergeCell ref="H81:H82"/>
    <mergeCell ref="H23:H24"/>
    <mergeCell ref="H25:H26"/>
    <mergeCell ref="C2:L2"/>
    <mergeCell ref="C3:L3"/>
    <mergeCell ref="C63:C68"/>
    <mergeCell ref="H63:H64"/>
    <mergeCell ref="H65:H66"/>
    <mergeCell ref="H67:H68"/>
    <mergeCell ref="C49:C54"/>
    <mergeCell ref="H49:H50"/>
    <mergeCell ref="C7:C12"/>
    <mergeCell ref="H7:H8"/>
    <mergeCell ref="H9:H10"/>
    <mergeCell ref="H11:H12"/>
    <mergeCell ref="C35:C40"/>
    <mergeCell ref="H35:H36"/>
    <mergeCell ref="H37:H38"/>
    <mergeCell ref="H39:H40"/>
    <mergeCell ref="C21:C26"/>
    <mergeCell ref="H21:H22"/>
  </mergeCells>
  <conditionalFormatting sqref="G15:H17 J43:J45 G29:H31 J15:J17 G43:H45 J29:J31 G57:H59 J57:J59 G71:H73 J99:J101 G85:H87 J71:J73 G99:H101 J85:J87 G113:H115 J113:J115">
    <cfRule type="cellIs" priority="1" dxfId="0" operator="equal" stopIfTrue="1">
      <formula>0</formula>
    </cfRule>
  </conditionalFormatting>
  <conditionalFormatting sqref="F15:F17 F29:F31 F43:F45 F57:F59 F71:F73 F85:F87 F99:F101 F113:F115">
    <cfRule type="expression" priority="2" dxfId="2" stopIfTrue="1">
      <formula>'Domingo B D E G I K M O'!N15=1</formula>
    </cfRule>
  </conditionalFormatting>
  <conditionalFormatting sqref="I15 I29 I43 I57 I71 I99 I113 I85">
    <cfRule type="expression" priority="3" dxfId="0" stopIfTrue="1">
      <formula>ISERROR('Domingo B D E G I K M O'!I15)</formula>
    </cfRule>
    <cfRule type="expression" priority="4" dxfId="2" stopIfTrue="1">
      <formula>'Domingo B D E G I K M O'!I15='Domingo B D E G I K M O'!I18</formula>
    </cfRule>
  </conditionalFormatting>
  <conditionalFormatting sqref="I16 I30 I44 I58 I72 I114 I100 I86">
    <cfRule type="expression" priority="5" dxfId="0" stopIfTrue="1">
      <formula>ISERROR('Domingo B D E G I K M O'!I16)</formula>
    </cfRule>
    <cfRule type="expression" priority="6" dxfId="2" stopIfTrue="1">
      <formula>'Domingo B D E G I K M O'!I16='Domingo B D E G I K M O'!I18</formula>
    </cfRule>
  </conditionalFormatting>
  <conditionalFormatting sqref="I17 I31 I45 I59 I73 I115 I101 I87">
    <cfRule type="expression" priority="7" dxfId="0" stopIfTrue="1">
      <formula>ISERROR('Domingo B D E G I K M O'!I17)</formula>
    </cfRule>
    <cfRule type="expression" priority="8" dxfId="2" stopIfTrue="1">
      <formula>'Domingo B D E G I K M O'!I17='Domingo B D E G I K M O'!I18</formula>
    </cfRule>
  </conditionalFormatting>
  <conditionalFormatting sqref="L15:L17 L29:L31 L43:L45 L57:L59 L71:L73 L85:L87 L99:L101 L113:L115">
    <cfRule type="expression" priority="9" dxfId="2" stopIfTrue="1">
      <formula>'Domingo B D E G I K M O'!N15=1</formula>
    </cfRule>
  </conditionalFormatting>
  <printOptions/>
  <pageMargins left="0.5905511811023623" right="0.1968503937007874" top="0.3937007874015748" bottom="0.1968503937007874" header="0" footer="0"/>
  <pageSetup orientation="portrait" paperSize="9" scale="90"/>
  <rowBreaks count="1" manualBreakCount="1">
    <brk id="60" max="255" man="1"/>
  </rowBreaks>
  <colBreaks count="1" manualBreakCount="1">
    <brk id="63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104"/>
  <sheetViews>
    <sheetView showGridLines="0" workbookViewId="0" topLeftCell="A1">
      <selection activeCell="A1" sqref="A1"/>
    </sheetView>
  </sheetViews>
  <sheetFormatPr defaultColWidth="11.57421875" defaultRowHeight="12.75"/>
  <cols>
    <col min="1" max="1" width="3.00390625" style="171" customWidth="1"/>
    <col min="2" max="2" width="5.00390625" style="29" customWidth="1"/>
    <col min="3" max="3" width="35.7109375" style="171" customWidth="1"/>
    <col min="4" max="8" width="10.8515625" style="171" customWidth="1"/>
    <col min="9" max="9" width="3.00390625" style="171" customWidth="1"/>
    <col min="10" max="16384" width="11.421875" style="171" customWidth="1"/>
  </cols>
  <sheetData>
    <row r="2" spans="2:8" ht="30" customHeight="1">
      <c r="B2" s="650" t="str">
        <f>'Ranquing Inicial'!E2</f>
        <v>I OPEN TRES BANDES C.B. MONFORTE</v>
      </c>
      <c r="C2" s="650"/>
      <c r="D2" s="650"/>
      <c r="E2" s="650"/>
      <c r="F2" s="650"/>
      <c r="G2" s="650"/>
      <c r="H2" s="650"/>
    </row>
    <row r="3" spans="2:8" ht="12.75" customHeight="1">
      <c r="B3" s="228"/>
      <c r="C3" s="170"/>
      <c r="D3" s="170"/>
      <c r="E3" s="170"/>
      <c r="F3" s="170"/>
      <c r="G3" s="170"/>
      <c r="H3" s="170"/>
    </row>
    <row r="4" spans="2:8" ht="30" customHeight="1">
      <c r="B4" s="651" t="s">
        <v>303</v>
      </c>
      <c r="C4" s="651"/>
      <c r="D4" s="651"/>
      <c r="E4" s="651"/>
      <c r="F4" s="651"/>
      <c r="G4" s="651"/>
      <c r="H4" s="651"/>
    </row>
    <row r="5" spans="2:8" ht="12.75" customHeight="1">
      <c r="B5" s="229"/>
      <c r="C5" s="178"/>
      <c r="D5" s="178"/>
      <c r="E5" s="178"/>
      <c r="F5" s="178"/>
      <c r="G5" s="178"/>
      <c r="H5" s="178"/>
    </row>
    <row r="6" spans="3:8" ht="15.75" customHeight="1">
      <c r="C6" s="171" t="s">
        <v>262</v>
      </c>
      <c r="D6" s="172" t="s">
        <v>299</v>
      </c>
      <c r="E6" s="172" t="s">
        <v>298</v>
      </c>
      <c r="F6" s="172" t="s">
        <v>309</v>
      </c>
      <c r="G6" s="172" t="s">
        <v>300</v>
      </c>
      <c r="H6" s="172" t="s">
        <v>301</v>
      </c>
    </row>
    <row r="7" spans="2:8" s="216" customFormat="1" ht="24" customHeight="1">
      <c r="B7" s="230">
        <v>17</v>
      </c>
      <c r="C7" s="215" t="s">
        <v>37</v>
      </c>
      <c r="D7" s="219">
        <v>59</v>
      </c>
      <c r="E7" s="219">
        <v>71</v>
      </c>
      <c r="F7" s="220">
        <v>0.8309859154929577</v>
      </c>
      <c r="G7" s="219">
        <v>6</v>
      </c>
      <c r="H7" s="221">
        <v>4</v>
      </c>
    </row>
    <row r="8" spans="2:8" s="216" customFormat="1" ht="24" customHeight="1">
      <c r="B8" s="231">
        <v>18</v>
      </c>
      <c r="C8" s="217" t="s">
        <v>40</v>
      </c>
      <c r="D8" s="222">
        <v>60</v>
      </c>
      <c r="E8" s="222">
        <v>75</v>
      </c>
      <c r="F8" s="223">
        <v>0.8</v>
      </c>
      <c r="G8" s="222">
        <v>5</v>
      </c>
      <c r="H8" s="224">
        <v>4</v>
      </c>
    </row>
    <row r="9" spans="2:8" s="216" customFormat="1" ht="24" customHeight="1">
      <c r="B9" s="231">
        <v>19</v>
      </c>
      <c r="C9" s="217" t="s">
        <v>222</v>
      </c>
      <c r="D9" s="222">
        <v>60</v>
      </c>
      <c r="E9" s="222">
        <v>84</v>
      </c>
      <c r="F9" s="223">
        <v>0.7142857142857143</v>
      </c>
      <c r="G9" s="222">
        <v>4</v>
      </c>
      <c r="H9" s="224">
        <v>4</v>
      </c>
    </row>
    <row r="10" spans="2:8" s="216" customFormat="1" ht="24" customHeight="1">
      <c r="B10" s="231">
        <v>20</v>
      </c>
      <c r="C10" s="217" t="s">
        <v>41</v>
      </c>
      <c r="D10" s="222">
        <v>57</v>
      </c>
      <c r="E10" s="222">
        <v>81</v>
      </c>
      <c r="F10" s="223">
        <v>0.7037037037037037</v>
      </c>
      <c r="G10" s="222">
        <v>6</v>
      </c>
      <c r="H10" s="224">
        <v>4</v>
      </c>
    </row>
    <row r="11" spans="2:8" s="216" customFormat="1" ht="24" customHeight="1">
      <c r="B11" s="231">
        <v>21</v>
      </c>
      <c r="C11" s="217" t="s">
        <v>44</v>
      </c>
      <c r="D11" s="222">
        <v>60</v>
      </c>
      <c r="E11" s="222">
        <v>88</v>
      </c>
      <c r="F11" s="223">
        <v>0.6818181818181818</v>
      </c>
      <c r="G11" s="222">
        <v>5</v>
      </c>
      <c r="H11" s="224">
        <v>4</v>
      </c>
    </row>
    <row r="12" spans="2:8" s="216" customFormat="1" ht="24" customHeight="1">
      <c r="B12" s="231">
        <v>22</v>
      </c>
      <c r="C12" s="217" t="s">
        <v>43</v>
      </c>
      <c r="D12" s="222">
        <v>60</v>
      </c>
      <c r="E12" s="222">
        <v>88</v>
      </c>
      <c r="F12" s="223">
        <v>0.6818181818181818</v>
      </c>
      <c r="G12" s="222">
        <v>4</v>
      </c>
      <c r="H12" s="224">
        <v>4</v>
      </c>
    </row>
    <row r="13" spans="2:8" s="216" customFormat="1" ht="24" customHeight="1">
      <c r="B13" s="231">
        <v>23</v>
      </c>
      <c r="C13" s="217" t="s">
        <v>223</v>
      </c>
      <c r="D13" s="222">
        <v>57</v>
      </c>
      <c r="E13" s="222">
        <v>88</v>
      </c>
      <c r="F13" s="223">
        <v>0.6477272727272727</v>
      </c>
      <c r="G13" s="222">
        <v>4</v>
      </c>
      <c r="H13" s="224">
        <v>4</v>
      </c>
    </row>
    <row r="14" spans="2:8" s="216" customFormat="1" ht="24" customHeight="1">
      <c r="B14" s="231">
        <v>24</v>
      </c>
      <c r="C14" s="217" t="s">
        <v>225</v>
      </c>
      <c r="D14" s="222">
        <v>60</v>
      </c>
      <c r="E14" s="222">
        <v>93</v>
      </c>
      <c r="F14" s="223">
        <v>0.6451612903225806</v>
      </c>
      <c r="G14" s="222">
        <v>4</v>
      </c>
      <c r="H14" s="224">
        <v>4</v>
      </c>
    </row>
    <row r="15" spans="2:8" s="216" customFormat="1" ht="24" customHeight="1">
      <c r="B15" s="231">
        <v>25</v>
      </c>
      <c r="C15" s="217" t="s">
        <v>228</v>
      </c>
      <c r="D15" s="222">
        <v>59</v>
      </c>
      <c r="E15" s="222">
        <v>92</v>
      </c>
      <c r="F15" s="223">
        <v>0.6413043478260869</v>
      </c>
      <c r="G15" s="222">
        <v>9</v>
      </c>
      <c r="H15" s="224">
        <v>4</v>
      </c>
    </row>
    <row r="16" spans="2:8" s="216" customFormat="1" ht="24" customHeight="1">
      <c r="B16" s="231">
        <v>26</v>
      </c>
      <c r="C16" s="217" t="s">
        <v>226</v>
      </c>
      <c r="D16" s="222">
        <v>57</v>
      </c>
      <c r="E16" s="222">
        <v>89</v>
      </c>
      <c r="F16" s="223">
        <v>0.6404494382022472</v>
      </c>
      <c r="G16" s="222">
        <v>6</v>
      </c>
      <c r="H16" s="224">
        <v>4</v>
      </c>
    </row>
    <row r="17" spans="2:8" s="216" customFormat="1" ht="24" customHeight="1">
      <c r="B17" s="231">
        <v>27</v>
      </c>
      <c r="C17" s="217" t="s">
        <v>254</v>
      </c>
      <c r="D17" s="222">
        <v>60</v>
      </c>
      <c r="E17" s="222">
        <v>97</v>
      </c>
      <c r="F17" s="223">
        <v>0.6185567010309279</v>
      </c>
      <c r="G17" s="222">
        <v>4</v>
      </c>
      <c r="H17" s="224">
        <v>4</v>
      </c>
    </row>
    <row r="18" spans="2:8" s="216" customFormat="1" ht="24" customHeight="1">
      <c r="B18" s="231">
        <v>28</v>
      </c>
      <c r="C18" s="217" t="s">
        <v>227</v>
      </c>
      <c r="D18" s="222">
        <v>58</v>
      </c>
      <c r="E18" s="222">
        <v>100</v>
      </c>
      <c r="F18" s="223">
        <v>0.58</v>
      </c>
      <c r="G18" s="222">
        <v>4</v>
      </c>
      <c r="H18" s="224">
        <v>4</v>
      </c>
    </row>
    <row r="19" spans="2:8" s="216" customFormat="1" ht="24" customHeight="1">
      <c r="B19" s="231">
        <v>29</v>
      </c>
      <c r="C19" s="217" t="s">
        <v>232</v>
      </c>
      <c r="D19" s="222">
        <v>54</v>
      </c>
      <c r="E19" s="222">
        <v>96</v>
      </c>
      <c r="F19" s="223">
        <v>0.5625</v>
      </c>
      <c r="G19" s="222">
        <v>4</v>
      </c>
      <c r="H19" s="224">
        <v>4</v>
      </c>
    </row>
    <row r="20" spans="2:8" s="216" customFormat="1" ht="24" customHeight="1">
      <c r="B20" s="231">
        <v>30</v>
      </c>
      <c r="C20" s="217" t="s">
        <v>255</v>
      </c>
      <c r="D20" s="222">
        <v>55</v>
      </c>
      <c r="E20" s="222">
        <v>100</v>
      </c>
      <c r="F20" s="223">
        <v>0.55</v>
      </c>
      <c r="G20" s="222">
        <v>5</v>
      </c>
      <c r="H20" s="224">
        <v>4</v>
      </c>
    </row>
    <row r="21" spans="2:8" s="216" customFormat="1" ht="24" customHeight="1">
      <c r="B21" s="231">
        <v>31</v>
      </c>
      <c r="C21" s="217" t="s">
        <v>47</v>
      </c>
      <c r="D21" s="222">
        <v>52</v>
      </c>
      <c r="E21" s="222">
        <v>80</v>
      </c>
      <c r="F21" s="223">
        <v>0.65</v>
      </c>
      <c r="G21" s="222">
        <v>6</v>
      </c>
      <c r="H21" s="224">
        <v>2</v>
      </c>
    </row>
    <row r="22" spans="2:8" s="216" customFormat="1" ht="24" customHeight="1">
      <c r="B22" s="231">
        <v>32</v>
      </c>
      <c r="C22" s="217" t="s">
        <v>54</v>
      </c>
      <c r="D22" s="222">
        <v>51</v>
      </c>
      <c r="E22" s="222">
        <v>100</v>
      </c>
      <c r="F22" s="223">
        <v>0.51</v>
      </c>
      <c r="G22" s="222">
        <v>3</v>
      </c>
      <c r="H22" s="224">
        <v>2</v>
      </c>
    </row>
    <row r="23" spans="2:8" ht="21" customHeight="1">
      <c r="B23" s="258"/>
      <c r="C23" s="253"/>
      <c r="D23" s="254"/>
      <c r="E23" s="254"/>
      <c r="F23" s="255"/>
      <c r="G23" s="254"/>
      <c r="H23" s="254"/>
    </row>
    <row r="24" spans="2:8" ht="21" customHeight="1">
      <c r="B24" s="259"/>
      <c r="C24" s="184"/>
      <c r="D24" s="185"/>
      <c r="E24" s="185"/>
      <c r="F24" s="186"/>
      <c r="G24" s="185"/>
      <c r="H24" s="185"/>
    </row>
    <row r="25" spans="2:8" ht="21" customHeight="1">
      <c r="B25" s="259"/>
      <c r="C25" s="184"/>
      <c r="D25" s="185"/>
      <c r="E25" s="185"/>
      <c r="F25" s="186"/>
      <c r="G25" s="185"/>
      <c r="H25" s="185"/>
    </row>
    <row r="26" spans="2:8" ht="21" customHeight="1">
      <c r="B26" s="259"/>
      <c r="C26" s="184"/>
      <c r="D26" s="185"/>
      <c r="E26" s="185"/>
      <c r="F26" s="186"/>
      <c r="G26" s="185"/>
      <c r="H26" s="185"/>
    </row>
    <row r="27" spans="2:8" ht="21" customHeight="1">
      <c r="B27" s="259"/>
      <c r="C27" s="184"/>
      <c r="D27" s="185"/>
      <c r="E27" s="185"/>
      <c r="F27" s="186"/>
      <c r="G27" s="185"/>
      <c r="H27" s="185"/>
    </row>
    <row r="28" spans="2:8" ht="21" customHeight="1">
      <c r="B28" s="259"/>
      <c r="C28" s="184"/>
      <c r="D28" s="185"/>
      <c r="E28" s="185"/>
      <c r="F28" s="186"/>
      <c r="G28" s="185"/>
      <c r="H28" s="185"/>
    </row>
    <row r="29" spans="2:8" ht="21" customHeight="1">
      <c r="B29" s="259"/>
      <c r="C29" s="184"/>
      <c r="D29" s="185"/>
      <c r="E29" s="185"/>
      <c r="F29" s="186"/>
      <c r="G29" s="185"/>
      <c r="H29" s="185"/>
    </row>
    <row r="30" spans="2:8" ht="21" customHeight="1">
      <c r="B30" s="259"/>
      <c r="C30" s="184"/>
      <c r="D30" s="185"/>
      <c r="E30" s="185"/>
      <c r="F30" s="186"/>
      <c r="G30" s="185"/>
      <c r="H30" s="185"/>
    </row>
    <row r="31" spans="2:8" ht="21" customHeight="1">
      <c r="B31" s="259"/>
      <c r="C31" s="184"/>
      <c r="D31" s="185"/>
      <c r="E31" s="185"/>
      <c r="F31" s="186"/>
      <c r="G31" s="185"/>
      <c r="H31" s="185"/>
    </row>
    <row r="32" spans="2:8" ht="21" customHeight="1">
      <c r="B32" s="259"/>
      <c r="C32" s="184"/>
      <c r="D32" s="185"/>
      <c r="E32" s="185"/>
      <c r="F32" s="186"/>
      <c r="G32" s="185"/>
      <c r="H32" s="185"/>
    </row>
    <row r="33" spans="2:8" ht="21" customHeight="1">
      <c r="B33" s="259"/>
      <c r="C33" s="184"/>
      <c r="D33" s="185"/>
      <c r="E33" s="185"/>
      <c r="F33" s="186"/>
      <c r="G33" s="185"/>
      <c r="H33" s="185"/>
    </row>
    <row r="34" spans="2:8" ht="21" customHeight="1">
      <c r="B34" s="259"/>
      <c r="C34" s="184"/>
      <c r="D34" s="185"/>
      <c r="E34" s="185"/>
      <c r="F34" s="186"/>
      <c r="G34" s="185"/>
      <c r="H34" s="185"/>
    </row>
    <row r="35" spans="2:8" ht="21" customHeight="1">
      <c r="B35" s="259"/>
      <c r="C35" s="184"/>
      <c r="D35" s="185"/>
      <c r="E35" s="185"/>
      <c r="F35" s="186"/>
      <c r="G35" s="185"/>
      <c r="H35" s="185"/>
    </row>
    <row r="36" spans="2:8" ht="21" customHeight="1">
      <c r="B36" s="259"/>
      <c r="C36" s="184"/>
      <c r="D36" s="185"/>
      <c r="E36" s="185"/>
      <c r="F36" s="186"/>
      <c r="G36" s="185"/>
      <c r="H36" s="185"/>
    </row>
    <row r="37" spans="2:8" ht="21" customHeight="1">
      <c r="B37" s="259"/>
      <c r="C37" s="184"/>
      <c r="D37" s="185"/>
      <c r="E37" s="185"/>
      <c r="F37" s="186"/>
      <c r="G37" s="185"/>
      <c r="H37" s="185"/>
    </row>
    <row r="38" spans="2:8" ht="21" customHeight="1">
      <c r="B38" s="259"/>
      <c r="C38" s="184"/>
      <c r="D38" s="185"/>
      <c r="E38" s="185"/>
      <c r="F38" s="186"/>
      <c r="G38" s="185"/>
      <c r="H38" s="185"/>
    </row>
    <row r="39" spans="2:8" ht="21" customHeight="1">
      <c r="B39" s="259"/>
      <c r="C39" s="184"/>
      <c r="D39" s="185"/>
      <c r="E39" s="185"/>
      <c r="F39" s="186"/>
      <c r="G39" s="185"/>
      <c r="H39" s="185"/>
    </row>
    <row r="40" spans="2:8" ht="21" customHeight="1">
      <c r="B40" s="259"/>
      <c r="C40" s="184"/>
      <c r="D40" s="185"/>
      <c r="E40" s="185"/>
      <c r="F40" s="186"/>
      <c r="G40" s="185"/>
      <c r="H40" s="185"/>
    </row>
    <row r="41" spans="2:8" ht="21" customHeight="1">
      <c r="B41" s="259"/>
      <c r="C41" s="184"/>
      <c r="D41" s="185"/>
      <c r="E41" s="185"/>
      <c r="F41" s="186"/>
      <c r="G41" s="185"/>
      <c r="H41" s="185"/>
    </row>
    <row r="42" spans="2:8" ht="21" customHeight="1">
      <c r="B42" s="259"/>
      <c r="C42" s="184"/>
      <c r="D42" s="185"/>
      <c r="E42" s="185"/>
      <c r="F42" s="186"/>
      <c r="G42" s="185"/>
      <c r="H42" s="185"/>
    </row>
    <row r="43" spans="2:8" ht="21" customHeight="1">
      <c r="B43" s="259"/>
      <c r="C43" s="184"/>
      <c r="D43" s="185"/>
      <c r="E43" s="185"/>
      <c r="F43" s="186"/>
      <c r="G43" s="185"/>
      <c r="H43" s="185"/>
    </row>
    <row r="44" spans="2:8" ht="21" customHeight="1">
      <c r="B44" s="259"/>
      <c r="C44" s="184"/>
      <c r="D44" s="185"/>
      <c r="E44" s="185"/>
      <c r="F44" s="186"/>
      <c r="G44" s="185"/>
      <c r="H44" s="185"/>
    </row>
    <row r="45" spans="2:8" ht="21" customHeight="1">
      <c r="B45" s="259"/>
      <c r="C45" s="184"/>
      <c r="D45" s="185"/>
      <c r="E45" s="185"/>
      <c r="F45" s="186"/>
      <c r="G45" s="185"/>
      <c r="H45" s="185"/>
    </row>
    <row r="46" spans="2:8" ht="21" customHeight="1">
      <c r="B46" s="259"/>
      <c r="C46" s="184"/>
      <c r="D46" s="185"/>
      <c r="E46" s="185"/>
      <c r="F46" s="186"/>
      <c r="G46" s="185"/>
      <c r="H46" s="185"/>
    </row>
    <row r="47" spans="2:8" ht="21" customHeight="1">
      <c r="B47" s="259"/>
      <c r="C47" s="184"/>
      <c r="D47" s="185"/>
      <c r="E47" s="185"/>
      <c r="F47" s="186"/>
      <c r="G47" s="185"/>
      <c r="H47" s="185"/>
    </row>
    <row r="48" spans="2:8" ht="21" customHeight="1">
      <c r="B48" s="259"/>
      <c r="C48" s="184"/>
      <c r="D48" s="185"/>
      <c r="E48" s="185"/>
      <c r="F48" s="186"/>
      <c r="G48" s="185"/>
      <c r="H48" s="185"/>
    </row>
    <row r="49" spans="2:8" ht="21" customHeight="1">
      <c r="B49" s="259"/>
      <c r="C49" s="184"/>
      <c r="D49" s="185"/>
      <c r="E49" s="185"/>
      <c r="F49" s="186"/>
      <c r="G49" s="185"/>
      <c r="H49" s="185"/>
    </row>
    <row r="50" spans="2:8" ht="21" customHeight="1">
      <c r="B50" s="259"/>
      <c r="C50" s="184"/>
      <c r="D50" s="185"/>
      <c r="E50" s="185"/>
      <c r="F50" s="186"/>
      <c r="G50" s="185"/>
      <c r="H50" s="185"/>
    </row>
    <row r="51" spans="2:8" ht="21" customHeight="1">
      <c r="B51" s="259"/>
      <c r="C51" s="184"/>
      <c r="D51" s="185"/>
      <c r="E51" s="185"/>
      <c r="F51" s="186"/>
      <c r="G51" s="185"/>
      <c r="H51" s="185"/>
    </row>
    <row r="52" spans="2:8" ht="21" customHeight="1">
      <c r="B52" s="259"/>
      <c r="C52" s="184"/>
      <c r="D52" s="185"/>
      <c r="E52" s="185"/>
      <c r="F52" s="186"/>
      <c r="G52" s="185"/>
      <c r="H52" s="185"/>
    </row>
    <row r="53" spans="2:8" ht="21" customHeight="1">
      <c r="B53" s="259"/>
      <c r="C53" s="184"/>
      <c r="D53" s="185"/>
      <c r="E53" s="185"/>
      <c r="F53" s="186"/>
      <c r="G53" s="185"/>
      <c r="H53" s="185"/>
    </row>
    <row r="54" spans="2:8" ht="21" customHeight="1">
      <c r="B54" s="259"/>
      <c r="C54" s="184"/>
      <c r="D54" s="185"/>
      <c r="E54" s="185"/>
      <c r="F54" s="186"/>
      <c r="G54" s="185"/>
      <c r="H54" s="185"/>
    </row>
    <row r="55" spans="2:8" ht="21" customHeight="1">
      <c r="B55" s="259"/>
      <c r="C55" s="184"/>
      <c r="D55" s="185"/>
      <c r="E55" s="185"/>
      <c r="F55" s="186"/>
      <c r="G55" s="185"/>
      <c r="H55" s="185"/>
    </row>
    <row r="56" spans="2:8" ht="21" customHeight="1">
      <c r="B56" s="259"/>
      <c r="C56" s="184"/>
      <c r="D56" s="185"/>
      <c r="E56" s="185"/>
      <c r="F56" s="186"/>
      <c r="G56" s="185"/>
      <c r="H56" s="185"/>
    </row>
    <row r="57" spans="2:8" ht="21" customHeight="1">
      <c r="B57" s="259"/>
      <c r="C57" s="184"/>
      <c r="D57" s="185"/>
      <c r="E57" s="185"/>
      <c r="F57" s="186"/>
      <c r="G57" s="185"/>
      <c r="H57" s="185"/>
    </row>
    <row r="58" spans="2:8" ht="21" customHeight="1">
      <c r="B58" s="259"/>
      <c r="C58" s="184"/>
      <c r="D58" s="185"/>
      <c r="E58" s="185"/>
      <c r="F58" s="186"/>
      <c r="G58" s="185"/>
      <c r="H58" s="185"/>
    </row>
    <row r="59" spans="2:8" ht="21" customHeight="1">
      <c r="B59" s="259"/>
      <c r="C59" s="184"/>
      <c r="D59" s="185"/>
      <c r="E59" s="185"/>
      <c r="F59" s="186"/>
      <c r="G59" s="185"/>
      <c r="H59" s="185"/>
    </row>
    <row r="60" spans="2:8" ht="21" customHeight="1">
      <c r="B60" s="259"/>
      <c r="C60" s="184"/>
      <c r="D60" s="185"/>
      <c r="E60" s="185"/>
      <c r="F60" s="186"/>
      <c r="G60" s="185"/>
      <c r="H60" s="185"/>
    </row>
    <row r="61" spans="2:8" ht="21" customHeight="1">
      <c r="B61" s="259"/>
      <c r="C61" s="184"/>
      <c r="D61" s="185"/>
      <c r="E61" s="185"/>
      <c r="F61" s="186"/>
      <c r="G61" s="185"/>
      <c r="H61" s="185"/>
    </row>
    <row r="62" spans="2:8" ht="21" customHeight="1">
      <c r="B62" s="259"/>
      <c r="C62" s="184"/>
      <c r="D62" s="185"/>
      <c r="E62" s="185"/>
      <c r="F62" s="186"/>
      <c r="G62" s="185"/>
      <c r="H62" s="185"/>
    </row>
    <row r="63" spans="2:8" ht="21" customHeight="1">
      <c r="B63" s="259"/>
      <c r="C63" s="184"/>
      <c r="D63" s="185"/>
      <c r="E63" s="185"/>
      <c r="F63" s="186"/>
      <c r="G63" s="185"/>
      <c r="H63" s="185"/>
    </row>
    <row r="64" spans="2:8" ht="21" customHeight="1">
      <c r="B64" s="259"/>
      <c r="C64" s="184"/>
      <c r="D64" s="185"/>
      <c r="E64" s="185"/>
      <c r="F64" s="186"/>
      <c r="G64" s="185"/>
      <c r="H64" s="185"/>
    </row>
    <row r="65" spans="2:8" ht="21" customHeight="1">
      <c r="B65" s="259"/>
      <c r="C65" s="184"/>
      <c r="D65" s="185"/>
      <c r="E65" s="185"/>
      <c r="F65" s="186"/>
      <c r="G65" s="185"/>
      <c r="H65" s="185"/>
    </row>
    <row r="66" spans="2:8" ht="21" customHeight="1">
      <c r="B66" s="259"/>
      <c r="C66" s="184"/>
      <c r="D66" s="185"/>
      <c r="E66" s="185"/>
      <c r="F66" s="186"/>
      <c r="G66" s="185"/>
      <c r="H66" s="185"/>
    </row>
    <row r="67" spans="2:8" ht="21" customHeight="1">
      <c r="B67" s="259"/>
      <c r="C67" s="184"/>
      <c r="D67" s="185"/>
      <c r="E67" s="185"/>
      <c r="F67" s="186"/>
      <c r="G67" s="185"/>
      <c r="H67" s="185"/>
    </row>
    <row r="68" spans="2:8" ht="21" customHeight="1">
      <c r="B68" s="259"/>
      <c r="C68" s="184"/>
      <c r="D68" s="185"/>
      <c r="E68" s="185"/>
      <c r="F68" s="186"/>
      <c r="G68" s="185"/>
      <c r="H68" s="185"/>
    </row>
    <row r="69" spans="2:8" ht="21" customHeight="1">
      <c r="B69" s="259"/>
      <c r="C69" s="184"/>
      <c r="D69" s="185"/>
      <c r="E69" s="185"/>
      <c r="F69" s="186"/>
      <c r="G69" s="185"/>
      <c r="H69" s="185"/>
    </row>
    <row r="70" spans="2:8" ht="21" customHeight="1">
      <c r="B70" s="259"/>
      <c r="C70" s="184"/>
      <c r="D70" s="185"/>
      <c r="E70" s="185"/>
      <c r="F70" s="186"/>
      <c r="G70" s="185"/>
      <c r="H70" s="185"/>
    </row>
    <row r="71" spans="2:8" ht="12">
      <c r="B71" s="388"/>
      <c r="C71" s="389"/>
      <c r="D71" s="389"/>
      <c r="E71" s="389"/>
      <c r="F71" s="389"/>
      <c r="G71" s="389"/>
      <c r="H71" s="389"/>
    </row>
    <row r="72" spans="2:8" ht="12">
      <c r="B72" s="388"/>
      <c r="C72" s="389"/>
      <c r="D72" s="389"/>
      <c r="E72" s="389"/>
      <c r="F72" s="389"/>
      <c r="G72" s="389"/>
      <c r="H72" s="389"/>
    </row>
    <row r="73" spans="2:8" ht="12">
      <c r="B73" s="388"/>
      <c r="C73" s="389"/>
      <c r="D73" s="389"/>
      <c r="E73" s="389"/>
      <c r="F73" s="389"/>
      <c r="G73" s="389"/>
      <c r="H73" s="389"/>
    </row>
    <row r="74" spans="2:8" ht="12">
      <c r="B74" s="388"/>
      <c r="C74" s="389"/>
      <c r="D74" s="389"/>
      <c r="E74" s="389"/>
      <c r="F74" s="389"/>
      <c r="G74" s="389"/>
      <c r="H74" s="389"/>
    </row>
    <row r="75" spans="2:8" ht="12">
      <c r="B75" s="388"/>
      <c r="C75" s="389"/>
      <c r="D75" s="389"/>
      <c r="E75" s="389"/>
      <c r="F75" s="389"/>
      <c r="G75" s="389"/>
      <c r="H75" s="389"/>
    </row>
    <row r="76" spans="2:8" ht="12">
      <c r="B76" s="388"/>
      <c r="C76" s="389"/>
      <c r="D76" s="389"/>
      <c r="E76" s="389"/>
      <c r="F76" s="389"/>
      <c r="G76" s="389"/>
      <c r="H76" s="389"/>
    </row>
    <row r="77" spans="2:8" ht="12">
      <c r="B77" s="388"/>
      <c r="C77" s="389"/>
      <c r="D77" s="389"/>
      <c r="E77" s="389"/>
      <c r="F77" s="389"/>
      <c r="G77" s="389"/>
      <c r="H77" s="389"/>
    </row>
    <row r="78" spans="2:8" ht="12">
      <c r="B78" s="388"/>
      <c r="C78" s="389"/>
      <c r="D78" s="389"/>
      <c r="E78" s="389"/>
      <c r="F78" s="389"/>
      <c r="G78" s="389"/>
      <c r="H78" s="389"/>
    </row>
    <row r="79" spans="2:8" ht="12">
      <c r="B79" s="388"/>
      <c r="C79" s="389"/>
      <c r="D79" s="389"/>
      <c r="E79" s="389"/>
      <c r="F79" s="389"/>
      <c r="G79" s="389"/>
      <c r="H79" s="389"/>
    </row>
    <row r="80" spans="2:8" ht="12">
      <c r="B80" s="388"/>
      <c r="C80" s="389"/>
      <c r="D80" s="389"/>
      <c r="E80" s="389"/>
      <c r="F80" s="389"/>
      <c r="G80" s="389"/>
      <c r="H80" s="389"/>
    </row>
    <row r="81" spans="2:8" ht="12">
      <c r="B81" s="388"/>
      <c r="C81" s="389"/>
      <c r="D81" s="389"/>
      <c r="E81" s="389"/>
      <c r="F81" s="389"/>
      <c r="G81" s="389"/>
      <c r="H81" s="389"/>
    </row>
    <row r="82" spans="2:8" ht="12">
      <c r="B82" s="388"/>
      <c r="C82" s="389"/>
      <c r="D82" s="389"/>
      <c r="E82" s="389"/>
      <c r="F82" s="389"/>
      <c r="G82" s="389"/>
      <c r="H82" s="389"/>
    </row>
    <row r="83" spans="2:8" ht="12">
      <c r="B83" s="388"/>
      <c r="C83" s="389"/>
      <c r="D83" s="389"/>
      <c r="E83" s="389"/>
      <c r="F83" s="389"/>
      <c r="G83" s="389"/>
      <c r="H83" s="389"/>
    </row>
    <row r="84" spans="2:8" ht="12">
      <c r="B84" s="388"/>
      <c r="C84" s="389"/>
      <c r="D84" s="389"/>
      <c r="E84" s="389"/>
      <c r="F84" s="389"/>
      <c r="G84" s="389"/>
      <c r="H84" s="389"/>
    </row>
    <row r="85" spans="2:8" ht="12">
      <c r="B85" s="388"/>
      <c r="C85" s="389"/>
      <c r="D85" s="389"/>
      <c r="E85" s="389"/>
      <c r="F85" s="389"/>
      <c r="G85" s="389"/>
      <c r="H85" s="389"/>
    </row>
    <row r="86" spans="2:8" ht="12">
      <c r="B86" s="388"/>
      <c r="C86" s="389"/>
      <c r="D86" s="389"/>
      <c r="E86" s="389"/>
      <c r="F86" s="389"/>
      <c r="G86" s="389"/>
      <c r="H86" s="389"/>
    </row>
    <row r="87" spans="2:8" ht="12">
      <c r="B87" s="388"/>
      <c r="C87" s="389"/>
      <c r="D87" s="389"/>
      <c r="E87" s="389"/>
      <c r="F87" s="389"/>
      <c r="G87" s="389"/>
      <c r="H87" s="389"/>
    </row>
    <row r="88" spans="2:8" ht="12">
      <c r="B88" s="388"/>
      <c r="C88" s="389"/>
      <c r="D88" s="389"/>
      <c r="E88" s="389"/>
      <c r="F88" s="389"/>
      <c r="G88" s="389"/>
      <c r="H88" s="389"/>
    </row>
    <row r="89" spans="2:8" ht="12">
      <c r="B89" s="388"/>
      <c r="C89" s="389"/>
      <c r="D89" s="389"/>
      <c r="E89" s="389"/>
      <c r="F89" s="389"/>
      <c r="G89" s="389"/>
      <c r="H89" s="389"/>
    </row>
    <row r="90" spans="2:8" ht="12">
      <c r="B90" s="388"/>
      <c r="C90" s="389"/>
      <c r="D90" s="389"/>
      <c r="E90" s="389"/>
      <c r="F90" s="389"/>
      <c r="G90" s="389"/>
      <c r="H90" s="389"/>
    </row>
    <row r="91" spans="2:8" ht="12">
      <c r="B91" s="388"/>
      <c r="C91" s="389"/>
      <c r="D91" s="389"/>
      <c r="E91" s="389"/>
      <c r="F91" s="389"/>
      <c r="G91" s="389"/>
      <c r="H91" s="389"/>
    </row>
    <row r="92" spans="2:8" ht="12">
      <c r="B92" s="388"/>
      <c r="C92" s="389"/>
      <c r="D92" s="389"/>
      <c r="E92" s="389"/>
      <c r="F92" s="389"/>
      <c r="G92" s="389"/>
      <c r="H92" s="389"/>
    </row>
    <row r="93" spans="2:8" ht="12">
      <c r="B93" s="388"/>
      <c r="C93" s="389"/>
      <c r="D93" s="389"/>
      <c r="E93" s="389"/>
      <c r="F93" s="389"/>
      <c r="G93" s="389"/>
      <c r="H93" s="389"/>
    </row>
    <row r="94" spans="2:8" ht="12">
      <c r="B94" s="388"/>
      <c r="C94" s="389"/>
      <c r="D94" s="389"/>
      <c r="E94" s="389"/>
      <c r="F94" s="389"/>
      <c r="G94" s="389"/>
      <c r="H94" s="389"/>
    </row>
    <row r="95" spans="2:8" ht="12">
      <c r="B95" s="388"/>
      <c r="C95" s="389"/>
      <c r="D95" s="389"/>
      <c r="E95" s="389"/>
      <c r="F95" s="389"/>
      <c r="G95" s="389"/>
      <c r="H95" s="389"/>
    </row>
    <row r="96" spans="2:8" ht="12">
      <c r="B96" s="388"/>
      <c r="C96" s="389"/>
      <c r="D96" s="389"/>
      <c r="E96" s="389"/>
      <c r="F96" s="389"/>
      <c r="G96" s="389"/>
      <c r="H96" s="389"/>
    </row>
    <row r="97" spans="2:8" ht="12">
      <c r="B97" s="388"/>
      <c r="C97" s="389"/>
      <c r="D97" s="389"/>
      <c r="E97" s="389"/>
      <c r="F97" s="389"/>
      <c r="G97" s="389"/>
      <c r="H97" s="389"/>
    </row>
    <row r="98" spans="2:8" ht="12">
      <c r="B98" s="388"/>
      <c r="C98" s="389"/>
      <c r="D98" s="389"/>
      <c r="E98" s="389"/>
      <c r="F98" s="389"/>
      <c r="G98" s="389"/>
      <c r="H98" s="389"/>
    </row>
    <row r="99" spans="2:8" ht="12">
      <c r="B99" s="388"/>
      <c r="C99" s="389"/>
      <c r="D99" s="389"/>
      <c r="E99" s="389"/>
      <c r="F99" s="389"/>
      <c r="G99" s="389"/>
      <c r="H99" s="389"/>
    </row>
    <row r="100" spans="2:8" ht="12">
      <c r="B100" s="388"/>
      <c r="C100" s="389"/>
      <c r="D100" s="389"/>
      <c r="E100" s="389"/>
      <c r="F100" s="389"/>
      <c r="G100" s="389"/>
      <c r="H100" s="389"/>
    </row>
    <row r="101" spans="2:8" ht="12">
      <c r="B101" s="388"/>
      <c r="C101" s="389"/>
      <c r="D101" s="389"/>
      <c r="E101" s="389"/>
      <c r="F101" s="389"/>
      <c r="G101" s="389"/>
      <c r="H101" s="389"/>
    </row>
    <row r="102" spans="2:8" ht="12">
      <c r="B102" s="388"/>
      <c r="C102" s="389"/>
      <c r="D102" s="389"/>
      <c r="E102" s="389"/>
      <c r="F102" s="389"/>
      <c r="G102" s="389"/>
      <c r="H102" s="389"/>
    </row>
    <row r="103" spans="2:8" ht="12">
      <c r="B103" s="388"/>
      <c r="C103" s="389"/>
      <c r="D103" s="389"/>
      <c r="E103" s="389"/>
      <c r="F103" s="389"/>
      <c r="G103" s="389"/>
      <c r="H103" s="389"/>
    </row>
    <row r="104" spans="2:8" ht="12">
      <c r="B104" s="388"/>
      <c r="C104" s="389"/>
      <c r="D104" s="389"/>
      <c r="E104" s="389"/>
      <c r="F104" s="389"/>
      <c r="G104" s="389"/>
      <c r="H104" s="389"/>
    </row>
  </sheetData>
  <sheetProtection/>
  <mergeCells count="2">
    <mergeCell ref="B2:H2"/>
    <mergeCell ref="B4:H4"/>
  </mergeCells>
  <printOptions/>
  <pageMargins left="0.5905511811023623" right="0.1968503937007874" top="0.1968503937007874" bottom="0" header="0" footer="0"/>
  <pageSetup orientation="portrait" paperSize="9"/>
  <rowBreaks count="1" manualBreakCount="1">
    <brk id="38" max="255" man="1"/>
  </rowBreaks>
  <colBreaks count="1" manualBreakCount="1">
    <brk id="8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V39"/>
  <sheetViews>
    <sheetView showGridLines="0" workbookViewId="0" topLeftCell="A1">
      <selection activeCell="A1" sqref="A1"/>
    </sheetView>
  </sheetViews>
  <sheetFormatPr defaultColWidth="11.57421875" defaultRowHeight="12.75"/>
  <cols>
    <col min="1" max="1" width="2.7109375" style="89" customWidth="1"/>
    <col min="2" max="2" width="2.7109375" style="179" customWidth="1"/>
    <col min="3" max="3" width="5.140625" style="89" customWidth="1"/>
    <col min="4" max="4" width="8.421875" style="89" customWidth="1"/>
    <col min="5" max="5" width="5.140625" style="89" customWidth="1"/>
    <col min="6" max="6" width="37.140625" style="89" customWidth="1"/>
    <col min="7" max="7" width="7.140625" style="89" customWidth="1"/>
    <col min="8" max="8" width="6.8515625" style="89" customWidth="1"/>
    <col min="9" max="9" width="8.00390625" style="89" customWidth="1"/>
    <col min="10" max="13" width="7.140625" style="89" customWidth="1"/>
    <col min="14" max="14" width="11.28125" style="89" hidden="1" customWidth="1"/>
    <col min="15" max="15" width="7.140625" style="179" hidden="1" customWidth="1"/>
    <col min="16" max="16" width="11.00390625" style="137" hidden="1" customWidth="1"/>
    <col min="17" max="17" width="7.140625" style="135" hidden="1" customWidth="1"/>
    <col min="18" max="22" width="5.140625" style="133" hidden="1" customWidth="1"/>
    <col min="23" max="23" width="1.7109375" style="136" hidden="1" customWidth="1"/>
    <col min="24" max="24" width="17.421875" style="135" hidden="1" customWidth="1"/>
    <col min="25" max="29" width="5.140625" style="133" hidden="1" customWidth="1"/>
    <col min="30" max="30" width="1.7109375" style="132" hidden="1" customWidth="1"/>
    <col min="31" max="31" width="3.8515625" style="143" hidden="1" customWidth="1"/>
    <col min="32" max="32" width="2.8515625" style="141" hidden="1" customWidth="1"/>
    <col min="33" max="33" width="28.421875" style="168" hidden="1" customWidth="1"/>
    <col min="34" max="34" width="3.00390625" style="89" hidden="1" customWidth="1"/>
    <col min="35" max="35" width="5.7109375" style="89" hidden="1" customWidth="1"/>
    <col min="36" max="36" width="6.140625" style="247" hidden="1" customWidth="1"/>
    <col min="37" max="38" width="5.7109375" style="89" hidden="1" customWidth="1"/>
    <col min="39" max="39" width="1.7109375" style="132" hidden="1" customWidth="1"/>
    <col min="40" max="40" width="3.8515625" style="143" hidden="1" customWidth="1"/>
    <col min="41" max="41" width="2.8515625" style="141" hidden="1" customWidth="1"/>
    <col min="42" max="42" width="28.421875" style="89" hidden="1" customWidth="1"/>
    <col min="43" max="43" width="3.00390625" style="89" hidden="1" customWidth="1"/>
    <col min="44" max="44" width="5.7109375" style="89" hidden="1" customWidth="1"/>
    <col min="45" max="45" width="6.140625" style="89" hidden="1" customWidth="1"/>
    <col min="46" max="47" width="5.7109375" style="89" hidden="1" customWidth="1"/>
    <col min="48" max="48" width="1.7109375" style="136" hidden="1" customWidth="1"/>
    <col min="49" max="49" width="3.7109375" style="89" hidden="1" customWidth="1"/>
    <col min="50" max="50" width="22.00390625" style="89" customWidth="1"/>
    <col min="51" max="16384" width="11.421875" style="89" customWidth="1"/>
  </cols>
  <sheetData>
    <row r="1" spans="2:48" s="142" customFormat="1" ht="9.75" customHeight="1">
      <c r="B1" s="181"/>
      <c r="O1" s="181"/>
      <c r="P1" s="242"/>
      <c r="Q1" s="183"/>
      <c r="R1" s="183"/>
      <c r="S1" s="183"/>
      <c r="T1" s="183"/>
      <c r="U1" s="183"/>
      <c r="V1" s="183"/>
      <c r="W1" s="183"/>
      <c r="X1" s="182"/>
      <c r="Y1" s="183"/>
      <c r="Z1" s="183"/>
      <c r="AA1" s="183"/>
      <c r="AB1" s="183"/>
      <c r="AC1" s="183"/>
      <c r="AD1" s="141"/>
      <c r="AE1" s="141"/>
      <c r="AF1" s="141"/>
      <c r="AG1" s="243"/>
      <c r="AJ1" s="246"/>
      <c r="AM1" s="141"/>
      <c r="AN1" s="141"/>
      <c r="AO1" s="141"/>
      <c r="AV1" s="183"/>
    </row>
    <row r="2" spans="3:42" ht="23.25">
      <c r="C2" s="641" t="s">
        <v>173</v>
      </c>
      <c r="D2" s="641"/>
      <c r="E2" s="641"/>
      <c r="F2" s="641"/>
      <c r="G2" s="641"/>
      <c r="H2" s="641"/>
      <c r="I2" s="641"/>
      <c r="J2" s="641"/>
      <c r="K2" s="641"/>
      <c r="L2" s="641"/>
      <c r="M2" s="202"/>
      <c r="N2" s="202"/>
      <c r="AG2" s="244" t="s">
        <v>277</v>
      </c>
      <c r="AP2" s="145" t="s">
        <v>278</v>
      </c>
    </row>
    <row r="3" spans="3:46" ht="27.75" customHeight="1">
      <c r="C3" s="656" t="s">
        <v>317</v>
      </c>
      <c r="D3" s="642"/>
      <c r="E3" s="642"/>
      <c r="F3" s="642"/>
      <c r="G3" s="649"/>
      <c r="H3" s="649"/>
      <c r="I3" s="649"/>
      <c r="J3" s="649"/>
      <c r="K3" s="649"/>
      <c r="L3" s="649"/>
      <c r="M3" s="203"/>
      <c r="N3" s="203"/>
      <c r="AG3" s="245" t="s">
        <v>281</v>
      </c>
      <c r="AI3" s="165" t="s">
        <v>323</v>
      </c>
      <c r="AJ3" s="248" t="s">
        <v>324</v>
      </c>
      <c r="AK3" s="167" t="s">
        <v>325</v>
      </c>
      <c r="AP3" s="177" t="s">
        <v>282</v>
      </c>
      <c r="AR3" s="165" t="s">
        <v>320</v>
      </c>
      <c r="AS3" s="166" t="s">
        <v>321</v>
      </c>
      <c r="AT3" s="167" t="s">
        <v>322</v>
      </c>
    </row>
    <row r="4" spans="3:48" ht="9" customHeight="1"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Q4" s="133" t="s">
        <v>274</v>
      </c>
      <c r="W4" s="134"/>
      <c r="X4" s="133" t="s">
        <v>275</v>
      </c>
      <c r="AD4" s="131"/>
      <c r="AE4" s="141"/>
      <c r="AM4" s="131"/>
      <c r="AN4" s="141"/>
      <c r="AV4" s="134"/>
    </row>
    <row r="5" ht="9" customHeight="1"/>
    <row r="6" spans="5:33" ht="12.75" thickBot="1">
      <c r="E6" s="89" t="s">
        <v>268</v>
      </c>
      <c r="F6" s="89" t="s">
        <v>262</v>
      </c>
      <c r="G6" s="89" t="s">
        <v>263</v>
      </c>
      <c r="H6" s="89" t="s">
        <v>264</v>
      </c>
      <c r="I6" s="89" t="s">
        <v>309</v>
      </c>
      <c r="J6" s="89" t="s">
        <v>266</v>
      </c>
      <c r="K6" s="89" t="s">
        <v>301</v>
      </c>
      <c r="L6" s="89" t="s">
        <v>271</v>
      </c>
      <c r="O6" s="109" t="s">
        <v>270</v>
      </c>
      <c r="P6" s="137" t="s">
        <v>274</v>
      </c>
      <c r="Q6" s="133" t="s">
        <v>263</v>
      </c>
      <c r="R6" s="133" t="s">
        <v>264</v>
      </c>
      <c r="S6" s="133" t="s">
        <v>265</v>
      </c>
      <c r="T6" s="133" t="s">
        <v>266</v>
      </c>
      <c r="U6" s="133" t="s">
        <v>267</v>
      </c>
      <c r="X6" s="137"/>
      <c r="Y6" s="133" t="s">
        <v>263</v>
      </c>
      <c r="Z6" s="133" t="s">
        <v>264</v>
      </c>
      <c r="AA6" s="133" t="s">
        <v>265</v>
      </c>
      <c r="AB6" s="133" t="s">
        <v>266</v>
      </c>
      <c r="AC6" s="133" t="s">
        <v>267</v>
      </c>
      <c r="AG6" s="168" t="s">
        <v>304</v>
      </c>
    </row>
    <row r="7" spans="2:47" ht="21" customHeight="1" thickTop="1">
      <c r="B7" s="256">
        <f aca="true" t="shared" si="0" ref="B7:B38">O7</f>
        <v>1</v>
      </c>
      <c r="C7" s="657" t="s">
        <v>311</v>
      </c>
      <c r="D7" s="204">
        <v>0.3958333333333333</v>
      </c>
      <c r="E7" s="91">
        <v>13</v>
      </c>
      <c r="F7" s="207" t="str">
        <f>VLOOKUP(E7,'Ranquing Inicial'!$B$6:$K$22,2,0)</f>
        <v>RAFAEL GASCÓN REYES</v>
      </c>
      <c r="G7" s="209">
        <v>40</v>
      </c>
      <c r="H7" s="652">
        <v>47</v>
      </c>
      <c r="I7" s="233">
        <f>IF(H7="","",G7/H7)</f>
        <v>0.851063829787234</v>
      </c>
      <c r="J7" s="209">
        <v>3</v>
      </c>
      <c r="K7" s="210">
        <f>IF(H7="","",IF(G7&lt;G8,0,IF(G7&gt;G8,2,1)))</f>
        <v>2</v>
      </c>
      <c r="L7" s="200" t="str">
        <f aca="true" t="shared" si="1" ref="L7:L38">IF(ISERROR(I7),"",O7&amp;"º")</f>
        <v>1º</v>
      </c>
      <c r="M7" s="237"/>
      <c r="N7" s="112">
        <f aca="true" t="shared" si="2" ref="N7:N38">IF(ISERROR(I7),"",SUM(K7,I7/1000,J7/1000000))</f>
        <v>2.000854063829787</v>
      </c>
      <c r="O7" s="236">
        <f>IF(ISERROR(I7),"",RANK(N7,N7:N8))</f>
        <v>1</v>
      </c>
      <c r="P7" s="238" t="str">
        <f>IF(O7=1,VLOOKUP(1,B7:K8,5,0),"")</f>
        <v>RAFAEL GASCÓN REYES</v>
      </c>
      <c r="Q7" s="138">
        <f>IF(O7=1,VLOOKUP(1,B7:K8,6,0),"")</f>
        <v>40</v>
      </c>
      <c r="R7" s="138">
        <f>IF(O7=1,H7,"")</f>
        <v>47</v>
      </c>
      <c r="S7" s="139">
        <f>IF(O7=1,VLOOKUP(1,B7:K8,8,0),"")</f>
        <v>0.851063829787234</v>
      </c>
      <c r="T7" s="138">
        <f>IF(O7=1,VLOOKUP(1,B7:K8,9,0),"")</f>
        <v>3</v>
      </c>
      <c r="U7" s="138">
        <f>IF(O7=1,VLOOKUP(1,B7:K8,10,0),"")</f>
        <v>2</v>
      </c>
      <c r="X7" s="137">
        <f>IF(O7=2,VLOOKUP(2,B7:K8,5,0),"")</f>
      </c>
      <c r="Y7" s="138">
        <f>IF(O7=2,VLOOKUP(2,B7:K8,6,0),"")</f>
      </c>
      <c r="Z7" s="138">
        <f>IF(O7=2,H7,"")</f>
      </c>
      <c r="AA7" s="139">
        <f>IF(O7=2,VLOOKUP(2,B7:K8,8,0),"")</f>
      </c>
      <c r="AB7" s="138">
        <f>IF(O7=2,VLOOKUP(2,B7:K8,9,0),"")</f>
      </c>
      <c r="AC7" s="138">
        <f>IF(O7=2,VLOOKUP(2,B7:K8,10,0),"")</f>
      </c>
      <c r="AG7" s="168" t="s">
        <v>319</v>
      </c>
      <c r="AH7" s="89" t="s">
        <v>319</v>
      </c>
      <c r="AI7" s="89" t="s">
        <v>319</v>
      </c>
      <c r="AJ7" s="247" t="s">
        <v>319</v>
      </c>
      <c r="AK7" s="89" t="s">
        <v>319</v>
      </c>
      <c r="AL7" s="89" t="s">
        <v>319</v>
      </c>
      <c r="AP7" s="89" t="s">
        <v>319</v>
      </c>
      <c r="AQ7" s="89" t="s">
        <v>319</v>
      </c>
      <c r="AR7" s="89" t="s">
        <v>319</v>
      </c>
      <c r="AS7" s="89" t="s">
        <v>319</v>
      </c>
      <c r="AT7" s="89" t="s">
        <v>319</v>
      </c>
      <c r="AU7" s="89" t="s">
        <v>319</v>
      </c>
    </row>
    <row r="8" spans="2:47" ht="21" customHeight="1" thickBot="1">
      <c r="B8" s="256">
        <f t="shared" si="0"/>
        <v>2</v>
      </c>
      <c r="C8" s="657"/>
      <c r="D8" s="205" t="s">
        <v>310</v>
      </c>
      <c r="E8" s="97">
        <v>20</v>
      </c>
      <c r="F8" s="208" t="str">
        <f>VLOOKUP(E8,'Clasificación Grupos'!$B$7:BL10,2,0)</f>
        <v>RAFAEL SOTO SEGURA</v>
      </c>
      <c r="G8" s="211">
        <v>27</v>
      </c>
      <c r="H8" s="653"/>
      <c r="I8" s="234">
        <f>IF(H7="","",G8/H7)</f>
        <v>0.574468085106383</v>
      </c>
      <c r="J8" s="211">
        <v>5</v>
      </c>
      <c r="K8" s="212">
        <f>IF(H7="","",IF(G8&lt;G7,0,IF(G8&gt;G7,2,1)))</f>
        <v>0</v>
      </c>
      <c r="L8" s="201" t="str">
        <f t="shared" si="1"/>
        <v>2º</v>
      </c>
      <c r="M8" s="237"/>
      <c r="N8" s="112">
        <f t="shared" si="2"/>
        <v>0.0005794680851063831</v>
      </c>
      <c r="O8" s="236">
        <f>IF(ISERROR(I8),"",RANK(N8,N7:N8))</f>
        <v>2</v>
      </c>
      <c r="P8" s="238">
        <f>IF(O8=1,VLOOKUP(1,B7:K8,5,0),"")</f>
      </c>
      <c r="Q8" s="138">
        <f>IF(O8=1,VLOOKUP(1,B7:K8,6,0),"")</f>
      </c>
      <c r="R8" s="138">
        <f>IF(O8=1,H7,"")</f>
      </c>
      <c r="S8" s="139">
        <f>IF(O8=1,VLOOKUP(1,B7:K8,8,0),"")</f>
      </c>
      <c r="T8" s="138">
        <f>IF(O8=1,VLOOKUP(1,B7:K8,9,0),"")</f>
      </c>
      <c r="U8" s="138">
        <f>IF(O8=1,VLOOKUP(1,B7:K8,10,0),"")</f>
      </c>
      <c r="X8" s="238" t="str">
        <f>IF(O8=2,VLOOKUP(2,B7:K8,5,0),"")</f>
        <v>RAFAEL SOTO SEGURA</v>
      </c>
      <c r="Y8" s="138">
        <f>IF(O8=2,VLOOKUP(2,B7:K8,6,0),"")</f>
        <v>27</v>
      </c>
      <c r="Z8" s="138">
        <f>IF(O8=2,H7,"")</f>
        <v>47</v>
      </c>
      <c r="AA8" s="139">
        <f>IF(O8=2,VLOOKUP(2,B7:K8,8,0),"")</f>
        <v>0.574468085106383</v>
      </c>
      <c r="AB8" s="138">
        <f>IF(O8=2,VLOOKUP(2,B7:K8,9,0),"")</f>
        <v>5</v>
      </c>
      <c r="AC8" s="138">
        <f>IF(O8=2,VLOOKUP(2,B7:K8,10,0),"")</f>
        <v>0</v>
      </c>
      <c r="AG8" s="168" t="s">
        <v>319</v>
      </c>
      <c r="AH8" s="89" t="s">
        <v>319</v>
      </c>
      <c r="AI8" s="89" t="s">
        <v>319</v>
      </c>
      <c r="AJ8" s="247" t="s">
        <v>319</v>
      </c>
      <c r="AK8" s="89" t="s">
        <v>319</v>
      </c>
      <c r="AL8" s="89" t="s">
        <v>319</v>
      </c>
      <c r="AN8" s="169"/>
      <c r="AO8" s="169"/>
      <c r="AP8" s="251" t="s">
        <v>319</v>
      </c>
      <c r="AQ8" s="251" t="s">
        <v>319</v>
      </c>
      <c r="AR8" s="251" t="s">
        <v>319</v>
      </c>
      <c r="AS8" s="251" t="s">
        <v>319</v>
      </c>
      <c r="AT8" s="251" t="s">
        <v>319</v>
      </c>
      <c r="AU8" s="251" t="s">
        <v>319</v>
      </c>
    </row>
    <row r="9" spans="2:47" ht="21" customHeight="1" thickTop="1">
      <c r="B9" s="256">
        <f t="shared" si="0"/>
        <v>2</v>
      </c>
      <c r="C9" s="657"/>
      <c r="D9" s="204">
        <v>0.3958333333333333</v>
      </c>
      <c r="E9" s="91">
        <v>14</v>
      </c>
      <c r="F9" s="207" t="str">
        <f>VLOOKUP(E9,'Ranquing Inicial'!$B$6:$K$22,2,0)</f>
        <v>JESÚS LUQUE MARTÍNEZ</v>
      </c>
      <c r="G9" s="209">
        <v>37</v>
      </c>
      <c r="H9" s="652">
        <v>39</v>
      </c>
      <c r="I9" s="233">
        <f>IF(H9="","",G9/H9)</f>
        <v>0.9487179487179487</v>
      </c>
      <c r="J9" s="209">
        <v>4</v>
      </c>
      <c r="K9" s="210">
        <f>IF(H9="","",IF(G9&lt;G10,0,IF(G9&gt;G10,2,1)))</f>
        <v>0</v>
      </c>
      <c r="L9" s="200" t="str">
        <f t="shared" si="1"/>
        <v>2º</v>
      </c>
      <c r="M9" s="237"/>
      <c r="N9" s="112">
        <f t="shared" si="2"/>
        <v>0.0009527179487179487</v>
      </c>
      <c r="O9" s="236">
        <f>IF(ISERROR(I9),"",RANK(N9,N9:N10))</f>
        <v>2</v>
      </c>
      <c r="P9" s="238">
        <f>IF(O9=1,VLOOKUP(1,B9:K10,5,0),"")</f>
      </c>
      <c r="Q9" s="138">
        <f>IF(O9=1,VLOOKUP(1,B9:K10,6,0),"")</f>
      </c>
      <c r="R9" s="138">
        <f>IF(O9=1,H9,"")</f>
      </c>
      <c r="S9" s="139">
        <f>IF(O9=1,VLOOKUP(1,B9:K10,8,0),"")</f>
      </c>
      <c r="T9" s="138">
        <f>IF(O9=1,VLOOKUP(1,B9:K10,9,0),"")</f>
      </c>
      <c r="U9" s="138">
        <f>IF(O9=1,VLOOKUP(1,B9:K10,10,0),"")</f>
      </c>
      <c r="X9" s="137" t="str">
        <f>IF(O9=2,VLOOKUP(2,B9:K10,5,0),"")</f>
        <v>JESÚS LUQUE MARTÍNEZ</v>
      </c>
      <c r="Y9" s="138">
        <f>IF(O9=2,VLOOKUP(2,B9:K10,6,0),"")</f>
        <v>37</v>
      </c>
      <c r="Z9" s="138">
        <f>IF(O9=2,H9,"")</f>
        <v>39</v>
      </c>
      <c r="AA9" s="139">
        <f>IF(O9=2,VLOOKUP(2,B9:K10,8,0),"")</f>
        <v>0.9487179487179487</v>
      </c>
      <c r="AB9" s="138">
        <f>IF(O9=2,VLOOKUP(2,B9:K10,9,0),"")</f>
        <v>4</v>
      </c>
      <c r="AC9" s="138">
        <f>IF(O9=2,VLOOKUP(2,B9:K10,10,0),"")</f>
        <v>0</v>
      </c>
      <c r="AG9" s="168" t="s">
        <v>319</v>
      </c>
      <c r="AH9" s="89" t="s">
        <v>319</v>
      </c>
      <c r="AI9" s="89" t="s">
        <v>319</v>
      </c>
      <c r="AJ9" s="247" t="s">
        <v>319</v>
      </c>
      <c r="AK9" s="89" t="s">
        <v>319</v>
      </c>
      <c r="AL9" s="89" t="s">
        <v>319</v>
      </c>
      <c r="AN9" s="169"/>
      <c r="AO9" s="169"/>
      <c r="AP9" s="251" t="s">
        <v>319</v>
      </c>
      <c r="AQ9" s="251" t="s">
        <v>319</v>
      </c>
      <c r="AR9" s="251" t="s">
        <v>319</v>
      </c>
      <c r="AS9" s="251" t="s">
        <v>319</v>
      </c>
      <c r="AT9" s="251" t="s">
        <v>319</v>
      </c>
      <c r="AU9" s="251" t="s">
        <v>319</v>
      </c>
    </row>
    <row r="10" spans="2:47" ht="21" customHeight="1" thickBot="1">
      <c r="B10" s="256">
        <f t="shared" si="0"/>
        <v>1</v>
      </c>
      <c r="C10" s="657"/>
      <c r="D10" s="206" t="s">
        <v>306</v>
      </c>
      <c r="E10" s="102">
        <v>19</v>
      </c>
      <c r="F10" s="208" t="str">
        <f>VLOOKUP(E10,'Clasificación Grupos'!$B$7:BL12,2,0)</f>
        <v>JONATAN HERNÁNDEZ LÓPEZ</v>
      </c>
      <c r="G10" s="211">
        <v>40</v>
      </c>
      <c r="H10" s="653"/>
      <c r="I10" s="234">
        <f>IF(H9="","",G10/H9)</f>
        <v>1.0256410256410255</v>
      </c>
      <c r="J10" s="211">
        <v>4</v>
      </c>
      <c r="K10" s="212">
        <f>IF(H9="","",IF(G10&lt;G9,0,IF(G10&gt;G9,2,1)))</f>
        <v>2</v>
      </c>
      <c r="L10" s="201" t="str">
        <f t="shared" si="1"/>
        <v>1º</v>
      </c>
      <c r="M10" s="237"/>
      <c r="N10" s="112">
        <f t="shared" si="2"/>
        <v>2.001029641025641</v>
      </c>
      <c r="O10" s="236">
        <f>IF(ISERROR(I10),"",RANK(N10,N9:N10))</f>
        <v>1</v>
      </c>
      <c r="P10" s="238" t="str">
        <f>IF(O10=1,VLOOKUP(1,B9:K10,5,0),"")</f>
        <v>JONATAN HERNÁNDEZ LÓPEZ</v>
      </c>
      <c r="Q10" s="138">
        <f>IF(O10=1,VLOOKUP(1,B9:K10,6,0),"")</f>
        <v>40</v>
      </c>
      <c r="R10" s="138">
        <f>IF(O10=1,H9,"")</f>
        <v>39</v>
      </c>
      <c r="S10" s="139">
        <f>IF(O10=1,VLOOKUP(1,B9:K10,8,0),"")</f>
        <v>1.0256410256410255</v>
      </c>
      <c r="T10" s="138">
        <f>IF(O10=1,VLOOKUP(1,B9:K10,9,0),"")</f>
        <v>4</v>
      </c>
      <c r="U10" s="138">
        <f>IF(O10=1,VLOOKUP(1,B9:K10,10,0),"")</f>
        <v>2</v>
      </c>
      <c r="X10" s="238">
        <f>IF(O10=2,VLOOKUP(2,B9:K10,5,0),"")</f>
      </c>
      <c r="Y10" s="138">
        <f>IF(O10=2,VLOOKUP(2,B9:K10,6,0),"")</f>
      </c>
      <c r="Z10" s="138">
        <f>IF(O10=2,H9,"")</f>
      </c>
      <c r="AA10" s="139">
        <f>IF(O10=2,VLOOKUP(2,B9:K10,8,0),"")</f>
      </c>
      <c r="AB10" s="138">
        <f>IF(O10=2,VLOOKUP(2,B9:K10,9,0),"")</f>
      </c>
      <c r="AC10" s="138">
        <f>IF(O10=2,VLOOKUP(2,B9:K10,10,0),"")</f>
      </c>
      <c r="AG10" s="168" t="s">
        <v>319</v>
      </c>
      <c r="AH10" s="89" t="s">
        <v>319</v>
      </c>
      <c r="AI10" s="89" t="s">
        <v>319</v>
      </c>
      <c r="AJ10" s="247" t="s">
        <v>319</v>
      </c>
      <c r="AK10" s="89" t="s">
        <v>319</v>
      </c>
      <c r="AL10" s="89" t="s">
        <v>319</v>
      </c>
      <c r="AN10" s="169"/>
      <c r="AO10" s="169"/>
      <c r="AP10" s="251" t="s">
        <v>319</v>
      </c>
      <c r="AQ10" s="251" t="s">
        <v>319</v>
      </c>
      <c r="AR10" s="251" t="s">
        <v>319</v>
      </c>
      <c r="AS10" s="251" t="s">
        <v>319</v>
      </c>
      <c r="AT10" s="251" t="s">
        <v>319</v>
      </c>
      <c r="AU10" s="251" t="s">
        <v>319</v>
      </c>
    </row>
    <row r="11" spans="2:47" ht="21" customHeight="1" thickTop="1">
      <c r="B11" s="256">
        <f t="shared" si="0"/>
        <v>1</v>
      </c>
      <c r="C11" s="657"/>
      <c r="D11" s="204">
        <v>0.3958333333333333</v>
      </c>
      <c r="E11" s="104">
        <v>15</v>
      </c>
      <c r="F11" s="207" t="str">
        <f>VLOOKUP(E11,'Ranquing Inicial'!$B$6:$K$22,2,0)</f>
        <v>JOSEP MARTÍN VÍLCHEZ</v>
      </c>
      <c r="G11" s="209">
        <v>40</v>
      </c>
      <c r="H11" s="652">
        <v>36</v>
      </c>
      <c r="I11" s="233">
        <f>IF(H11="","",G11/H11)</f>
        <v>1.1111111111111112</v>
      </c>
      <c r="J11" s="209">
        <v>8</v>
      </c>
      <c r="K11" s="210">
        <f>IF(H11="","",IF(G11&lt;G12,0,IF(G11&gt;G12,2,1)))</f>
        <v>2</v>
      </c>
      <c r="L11" s="200" t="str">
        <f t="shared" si="1"/>
        <v>1º</v>
      </c>
      <c r="M11" s="237"/>
      <c r="N11" s="112">
        <f t="shared" si="2"/>
        <v>2.001119111111111</v>
      </c>
      <c r="O11" s="236">
        <f>IF(ISERROR(I11),"",RANK(N11,N11:N12))</f>
        <v>1</v>
      </c>
      <c r="P11" s="238" t="str">
        <f>IF(O11=1,VLOOKUP(1,B11:K12,5,0),"")</f>
        <v>JOSEP MARTÍN VÍLCHEZ</v>
      </c>
      <c r="Q11" s="138">
        <f>IF(O11=1,VLOOKUP(1,B11:K12,6,0),"")</f>
        <v>40</v>
      </c>
      <c r="R11" s="138">
        <f>IF(O11=1,H11,"")</f>
        <v>36</v>
      </c>
      <c r="S11" s="139">
        <f>IF(O11=1,VLOOKUP(1,B11:K12,8,0),"")</f>
        <v>1.1111111111111112</v>
      </c>
      <c r="T11" s="138">
        <f>IF(O11=1,VLOOKUP(1,B11:K12,9,0),"")</f>
        <v>8</v>
      </c>
      <c r="U11" s="138">
        <f>IF(O11=1,VLOOKUP(1,B11:K12,10,0),"")</f>
        <v>2</v>
      </c>
      <c r="X11" s="137">
        <f>IF(O11=2,VLOOKUP(2,B11:K12,5,0),"")</f>
      </c>
      <c r="Y11" s="138">
        <f>IF(O11=2,VLOOKUP(2,B11:K12,6,0),"")</f>
      </c>
      <c r="Z11" s="138">
        <f>IF(O11=2,H11,"")</f>
      </c>
      <c r="AA11" s="139">
        <f>IF(O11=2,VLOOKUP(2,B11:K12,8,0),"")</f>
      </c>
      <c r="AB11" s="138">
        <f>IF(O11=2,VLOOKUP(2,B11:K12,9,0),"")</f>
      </c>
      <c r="AC11" s="138">
        <f>IF(O11=2,VLOOKUP(2,B11:K12,10,0),"")</f>
      </c>
      <c r="AG11" s="168" t="s">
        <v>319</v>
      </c>
      <c r="AH11" s="89" t="s">
        <v>319</v>
      </c>
      <c r="AI11" s="89" t="s">
        <v>319</v>
      </c>
      <c r="AJ11" s="247" t="s">
        <v>319</v>
      </c>
      <c r="AK11" s="89" t="s">
        <v>319</v>
      </c>
      <c r="AL11" s="89" t="s">
        <v>319</v>
      </c>
      <c r="AN11" s="169"/>
      <c r="AO11" s="169"/>
      <c r="AP11" s="251" t="s">
        <v>319</v>
      </c>
      <c r="AQ11" s="251" t="s">
        <v>319</v>
      </c>
      <c r="AR11" s="251" t="s">
        <v>319</v>
      </c>
      <c r="AS11" s="251" t="s">
        <v>319</v>
      </c>
      <c r="AT11" s="251" t="s">
        <v>319</v>
      </c>
      <c r="AU11" s="251" t="s">
        <v>319</v>
      </c>
    </row>
    <row r="12" spans="2:47" ht="21" customHeight="1" thickBot="1">
      <c r="B12" s="256">
        <f t="shared" si="0"/>
        <v>2</v>
      </c>
      <c r="C12" s="657"/>
      <c r="D12" s="206" t="s">
        <v>308</v>
      </c>
      <c r="E12" s="102">
        <v>18</v>
      </c>
      <c r="F12" s="208" t="str">
        <f>VLOOKUP(E12,'Clasificación Grupos'!$B$7:BL14,2,0)</f>
        <v>JOAN CARLES FONTANET BELLES</v>
      </c>
      <c r="G12" s="213">
        <v>27</v>
      </c>
      <c r="H12" s="653"/>
      <c r="I12" s="234">
        <f>IF(H11="","",G12/H11)</f>
        <v>0.75</v>
      </c>
      <c r="J12" s="213">
        <v>8</v>
      </c>
      <c r="K12" s="214">
        <f>IF(H11="","",IF(G12&lt;G11,0,IF(G12&gt;G11,2,1)))</f>
        <v>0</v>
      </c>
      <c r="L12" s="201" t="str">
        <f t="shared" si="1"/>
        <v>2º</v>
      </c>
      <c r="M12" s="237"/>
      <c r="N12" s="112">
        <f t="shared" si="2"/>
        <v>0.000758</v>
      </c>
      <c r="O12" s="236">
        <f>IF(ISERROR(I12),"",RANK(N12,N11:N12))</f>
        <v>2</v>
      </c>
      <c r="P12" s="238">
        <f>IF(O12=1,VLOOKUP(1,B11:K12,5,0),"")</f>
      </c>
      <c r="Q12" s="138">
        <f>IF(O12=1,VLOOKUP(1,B11:K12,6,0),"")</f>
      </c>
      <c r="R12" s="138">
        <f>IF(O12=1,H11,"")</f>
      </c>
      <c r="S12" s="139">
        <f>IF(O12=1,VLOOKUP(1,B11:K12,8,0),"")</f>
      </c>
      <c r="T12" s="138">
        <f>IF(O12=1,VLOOKUP(1,B11:K12,9,0),"")</f>
      </c>
      <c r="U12" s="138">
        <f>IF(O12=1,VLOOKUP(1,B11:K12,10,0),"")</f>
      </c>
      <c r="X12" s="238" t="str">
        <f>IF(O12=2,VLOOKUP(2,B11:K12,5,0),"")</f>
        <v>JOAN CARLES FONTANET BELLES</v>
      </c>
      <c r="Y12" s="138">
        <f>IF(O12=2,VLOOKUP(2,B11:K12,6,0),"")</f>
        <v>27</v>
      </c>
      <c r="Z12" s="138">
        <f>IF(O12=2,H11,"")</f>
        <v>36</v>
      </c>
      <c r="AA12" s="139">
        <f>IF(O12=2,VLOOKUP(2,B11:K12,8,0),"")</f>
        <v>0.75</v>
      </c>
      <c r="AB12" s="138">
        <f>IF(O12=2,VLOOKUP(2,B11:K12,9,0),"")</f>
        <v>8</v>
      </c>
      <c r="AC12" s="138">
        <f>IF(O12=2,VLOOKUP(2,B11:K12,10,0),"")</f>
        <v>0</v>
      </c>
      <c r="AG12" s="168" t="s">
        <v>319</v>
      </c>
      <c r="AH12" s="89" t="s">
        <v>319</v>
      </c>
      <c r="AI12" s="89" t="s">
        <v>319</v>
      </c>
      <c r="AJ12" s="247" t="s">
        <v>319</v>
      </c>
      <c r="AK12" s="89" t="s">
        <v>319</v>
      </c>
      <c r="AL12" s="89" t="s">
        <v>319</v>
      </c>
      <c r="AN12" s="169"/>
      <c r="AO12" s="169"/>
      <c r="AP12" s="251" t="s">
        <v>319</v>
      </c>
      <c r="AQ12" s="251" t="s">
        <v>319</v>
      </c>
      <c r="AR12" s="251" t="s">
        <v>319</v>
      </c>
      <c r="AS12" s="251" t="s">
        <v>319</v>
      </c>
      <c r="AT12" s="251" t="s">
        <v>319</v>
      </c>
      <c r="AU12" s="251" t="s">
        <v>319</v>
      </c>
    </row>
    <row r="13" spans="2:47" ht="21" customHeight="1" thickTop="1">
      <c r="B13" s="256">
        <f t="shared" si="0"/>
        <v>2</v>
      </c>
      <c r="C13" s="657"/>
      <c r="D13" s="204">
        <v>0.3958333333333333</v>
      </c>
      <c r="E13" s="91">
        <v>16</v>
      </c>
      <c r="F13" s="207" t="str">
        <f>VLOOKUP(E13,'Ranquing Inicial'!$B$6:$K$22,2,0)</f>
        <v>JAUME CARRERAS BATLLE</v>
      </c>
      <c r="G13" s="209">
        <v>23</v>
      </c>
      <c r="H13" s="652">
        <v>50</v>
      </c>
      <c r="I13" s="233">
        <f>IF(H13="","",G13/H13)</f>
        <v>0.46</v>
      </c>
      <c r="J13" s="209">
        <v>4</v>
      </c>
      <c r="K13" s="210">
        <f>IF(H13="","",IF(G13&lt;G14,0,IF(G13&gt;G14,2,1)))</f>
        <v>0</v>
      </c>
      <c r="L13" s="200" t="str">
        <f t="shared" si="1"/>
        <v>2º</v>
      </c>
      <c r="M13" s="237"/>
      <c r="N13" s="112">
        <f t="shared" si="2"/>
        <v>0.000464</v>
      </c>
      <c r="O13" s="236">
        <f>IF(ISERROR(I13),"",RANK(N13,N13:N14))</f>
        <v>2</v>
      </c>
      <c r="P13" s="238">
        <f>IF(O13=1,VLOOKUP(1,B13:K14,5,0),"")</f>
      </c>
      <c r="Q13" s="138">
        <f>IF(O13=1,VLOOKUP(1,B13:K14,6,0),"")</f>
      </c>
      <c r="R13" s="138">
        <f>IF(O13=1,H13,"")</f>
      </c>
      <c r="S13" s="139">
        <f>IF(O13=1,VLOOKUP(1,B13:K14,8,0),"")</f>
      </c>
      <c r="T13" s="138">
        <f>IF(O13=1,VLOOKUP(1,B13:K14,9,0),"")</f>
      </c>
      <c r="U13" s="138">
        <f>IF(O13=1,VLOOKUP(1,B13:K14,10,0),"")</f>
      </c>
      <c r="X13" s="137" t="str">
        <f>IF(O13=2,VLOOKUP(2,B13:K14,5,0),"")</f>
        <v>JAUME CARRERAS BATLLE</v>
      </c>
      <c r="Y13" s="138">
        <f>IF(O13=2,VLOOKUP(2,B13:K14,6,0),"")</f>
        <v>23</v>
      </c>
      <c r="Z13" s="138">
        <f>IF(O13=2,H13,"")</f>
        <v>50</v>
      </c>
      <c r="AA13" s="139">
        <f>IF(O13=2,VLOOKUP(2,B13:K14,8,0),"")</f>
        <v>0.46</v>
      </c>
      <c r="AB13" s="138">
        <f>IF(O13=2,VLOOKUP(2,B13:K14,9,0),"")</f>
        <v>4</v>
      </c>
      <c r="AC13" s="138">
        <f>IF(O13=2,VLOOKUP(2,B13:K14,10,0),"")</f>
        <v>0</v>
      </c>
      <c r="AG13" s="168" t="s">
        <v>319</v>
      </c>
      <c r="AH13" s="89" t="s">
        <v>319</v>
      </c>
      <c r="AI13" s="89" t="s">
        <v>319</v>
      </c>
      <c r="AJ13" s="247" t="s">
        <v>319</v>
      </c>
      <c r="AK13" s="89" t="s">
        <v>319</v>
      </c>
      <c r="AL13" s="89" t="s">
        <v>319</v>
      </c>
      <c r="AN13" s="169"/>
      <c r="AO13" s="169"/>
      <c r="AP13" s="251" t="s">
        <v>319</v>
      </c>
      <c r="AQ13" s="251" t="s">
        <v>319</v>
      </c>
      <c r="AR13" s="251" t="s">
        <v>319</v>
      </c>
      <c r="AS13" s="251" t="s">
        <v>319</v>
      </c>
      <c r="AT13" s="251" t="s">
        <v>319</v>
      </c>
      <c r="AU13" s="251" t="s">
        <v>319</v>
      </c>
    </row>
    <row r="14" spans="2:47" ht="21" customHeight="1" thickBot="1">
      <c r="B14" s="256">
        <f t="shared" si="0"/>
        <v>1</v>
      </c>
      <c r="C14" s="657"/>
      <c r="D14" s="206" t="s">
        <v>307</v>
      </c>
      <c r="E14" s="97">
        <v>17</v>
      </c>
      <c r="F14" s="208" t="str">
        <f>VLOOKUP(E14,'Clasificación Grupos'!$B$7:BL16,2,0)</f>
        <v>RICARD FIOL MESZAROS</v>
      </c>
      <c r="G14" s="211">
        <v>34</v>
      </c>
      <c r="H14" s="653"/>
      <c r="I14" s="234">
        <f>IF(H13="","",G14/H13)</f>
        <v>0.68</v>
      </c>
      <c r="J14" s="211">
        <v>3</v>
      </c>
      <c r="K14" s="212">
        <f>IF(H13="","",IF(G14&lt;G13,0,IF(G14&gt;G13,2,1)))</f>
        <v>2</v>
      </c>
      <c r="L14" s="201" t="str">
        <f t="shared" si="1"/>
        <v>1º</v>
      </c>
      <c r="M14" s="237"/>
      <c r="N14" s="112">
        <f t="shared" si="2"/>
        <v>2.000683</v>
      </c>
      <c r="O14" s="236">
        <f>IF(ISERROR(I14),"",RANK(N14,N13:N14))</f>
        <v>1</v>
      </c>
      <c r="P14" s="238" t="str">
        <f>IF(O14=1,VLOOKUP(1,B13:K14,5,0),"")</f>
        <v>RICARD FIOL MESZAROS</v>
      </c>
      <c r="Q14" s="138">
        <f>IF(O14=1,VLOOKUP(1,B13:K14,6,0),"")</f>
        <v>34</v>
      </c>
      <c r="R14" s="138">
        <f>IF(O14=1,H13,"")</f>
        <v>50</v>
      </c>
      <c r="S14" s="139">
        <f>IF(O14=1,VLOOKUP(1,B13:K14,8,0),"")</f>
        <v>0.68</v>
      </c>
      <c r="T14" s="138">
        <f>IF(O14=1,VLOOKUP(1,B13:K14,9,0),"")</f>
        <v>3</v>
      </c>
      <c r="U14" s="138">
        <f>IF(O14=1,VLOOKUP(1,B13:K14,10,0),"")</f>
        <v>2</v>
      </c>
      <c r="X14" s="238">
        <f>IF(O14=2,VLOOKUP(2,B13:K14,5,0),"")</f>
      </c>
      <c r="Y14" s="138">
        <f>IF(O14=2,VLOOKUP(2,B13:K14,6,0),"")</f>
      </c>
      <c r="Z14" s="138">
        <f>IF(O14=2,H13,"")</f>
      </c>
      <c r="AA14" s="139">
        <f>IF(O14=2,VLOOKUP(2,B13:K14,8,0),"")</f>
      </c>
      <c r="AB14" s="138">
        <f>IF(O14=2,VLOOKUP(2,B13:K14,9,0),"")</f>
      </c>
      <c r="AC14" s="138">
        <f>IF(O14=2,VLOOKUP(2,B13:K14,10,0),"")</f>
      </c>
      <c r="AG14" s="168" t="s">
        <v>319</v>
      </c>
      <c r="AH14" s="89" t="s">
        <v>319</v>
      </c>
      <c r="AI14" s="89" t="s">
        <v>319</v>
      </c>
      <c r="AJ14" s="247" t="s">
        <v>319</v>
      </c>
      <c r="AK14" s="89" t="s">
        <v>319</v>
      </c>
      <c r="AL14" s="89" t="s">
        <v>319</v>
      </c>
      <c r="AN14" s="169"/>
      <c r="AO14" s="169"/>
      <c r="AP14" s="251" t="s">
        <v>319</v>
      </c>
      <c r="AQ14" s="251" t="s">
        <v>319</v>
      </c>
      <c r="AR14" s="251" t="s">
        <v>319</v>
      </c>
      <c r="AS14" s="251" t="s">
        <v>319</v>
      </c>
      <c r="AT14" s="251" t="s">
        <v>319</v>
      </c>
      <c r="AU14" s="251" t="s">
        <v>319</v>
      </c>
    </row>
    <row r="15" spans="2:47" ht="21" customHeight="1" thickTop="1">
      <c r="B15" s="256">
        <f t="shared" si="0"/>
        <v>2</v>
      </c>
      <c r="C15" s="658" t="s">
        <v>312</v>
      </c>
      <c r="D15" s="204">
        <v>0.4791666666666667</v>
      </c>
      <c r="E15" s="91">
        <v>9</v>
      </c>
      <c r="F15" s="207" t="str">
        <f>VLOOKUP(E15,'Ranquing Inicial'!$B$6:$K$22,2,0)</f>
        <v>ANTONIO MARTÍNEZ CARRILLO</v>
      </c>
      <c r="G15" s="209">
        <v>31</v>
      </c>
      <c r="H15" s="652">
        <v>50</v>
      </c>
      <c r="I15" s="233">
        <f>IF(H15="","",G15/H15)</f>
        <v>0.62</v>
      </c>
      <c r="J15" s="209">
        <v>4</v>
      </c>
      <c r="K15" s="210">
        <f>IF(H15="","",IF(G15&lt;G16,0,IF(G15&gt;G16,2,1)))</f>
        <v>0</v>
      </c>
      <c r="L15" s="200" t="str">
        <f t="shared" si="1"/>
        <v>2º</v>
      </c>
      <c r="M15" s="237"/>
      <c r="N15" s="112">
        <f t="shared" si="2"/>
        <v>0.000624</v>
      </c>
      <c r="O15" s="236">
        <f>IF(ISERROR(I15),"",RANK(N15,N15:N16))</f>
        <v>2</v>
      </c>
      <c r="P15" s="238">
        <f>IF(O15=1,VLOOKUP(1,B15:K16,5,0),"")</f>
      </c>
      <c r="Q15" s="138">
        <f>IF(O15=1,VLOOKUP(1,B15:K16,6,0),"")</f>
      </c>
      <c r="R15" s="138">
        <f>IF(O15=1,H15,"")</f>
      </c>
      <c r="S15" s="139">
        <f>IF(O15=1,VLOOKUP(1,B15:K16,8,0),"")</f>
      </c>
      <c r="T15" s="138">
        <f>IF(O15=1,VLOOKUP(1,B15:K16,9,0),"")</f>
      </c>
      <c r="U15" s="138">
        <f>IF(O15=1,VLOOKUP(1,B15:K16,10,0),"")</f>
      </c>
      <c r="X15" s="137" t="str">
        <f>IF(O15=2,VLOOKUP(2,B15:K16,5,0),"")</f>
        <v>ANTONIO MARTÍNEZ CARRILLO</v>
      </c>
      <c r="Y15" s="138">
        <f>IF(O15=2,VLOOKUP(2,B15:K16,6,0),"")</f>
        <v>31</v>
      </c>
      <c r="Z15" s="138">
        <f>IF(O15=2,H15,"")</f>
        <v>50</v>
      </c>
      <c r="AA15" s="139">
        <f>IF(O15=2,VLOOKUP(2,B15:K16,8,0),"")</f>
        <v>0.62</v>
      </c>
      <c r="AB15" s="138">
        <f>IF(O15=2,VLOOKUP(2,B15:K16,9,0),"")</f>
        <v>4</v>
      </c>
      <c r="AC15" s="138">
        <f>IF(O15=2,VLOOKUP(2,B15:K16,10,0),"")</f>
        <v>0</v>
      </c>
      <c r="AG15" s="168" t="s">
        <v>319</v>
      </c>
      <c r="AH15" s="89" t="s">
        <v>319</v>
      </c>
      <c r="AI15" s="89" t="s">
        <v>319</v>
      </c>
      <c r="AJ15" s="247" t="s">
        <v>319</v>
      </c>
      <c r="AK15" s="89" t="s">
        <v>319</v>
      </c>
      <c r="AL15" s="89" t="s">
        <v>319</v>
      </c>
      <c r="AN15" s="169"/>
      <c r="AO15" s="169"/>
      <c r="AP15" s="251" t="s">
        <v>319</v>
      </c>
      <c r="AQ15" s="251" t="s">
        <v>319</v>
      </c>
      <c r="AR15" s="251" t="s">
        <v>319</v>
      </c>
      <c r="AS15" s="251" t="s">
        <v>319</v>
      </c>
      <c r="AT15" s="251" t="s">
        <v>319</v>
      </c>
      <c r="AU15" s="251" t="s">
        <v>319</v>
      </c>
    </row>
    <row r="16" spans="2:47" ht="21" customHeight="1" thickBot="1">
      <c r="B16" s="256">
        <f t="shared" si="0"/>
        <v>1</v>
      </c>
      <c r="C16" s="658"/>
      <c r="D16" s="205" t="s">
        <v>310</v>
      </c>
      <c r="E16" s="102">
        <v>24</v>
      </c>
      <c r="F16" s="208" t="str">
        <f>VLOOKUP(E16,'Clasificación Grupos'!$B$7:BL18,2,0)</f>
        <v>RAFAEL SALAZAR HERNÁNDEZ</v>
      </c>
      <c r="G16" s="211">
        <v>35</v>
      </c>
      <c r="H16" s="653"/>
      <c r="I16" s="234">
        <f>IF(H15="","",G16/H15)</f>
        <v>0.7</v>
      </c>
      <c r="J16" s="211">
        <v>5</v>
      </c>
      <c r="K16" s="212">
        <f>IF(H15="","",IF(G16&lt;G15,0,IF(G16&gt;G15,2,1)))</f>
        <v>2</v>
      </c>
      <c r="L16" s="201" t="str">
        <f t="shared" si="1"/>
        <v>1º</v>
      </c>
      <c r="M16" s="237"/>
      <c r="N16" s="112">
        <f t="shared" si="2"/>
        <v>2.000705</v>
      </c>
      <c r="O16" s="236">
        <f>IF(ISERROR(I16),"",RANK(N16,N15:N16))</f>
        <v>1</v>
      </c>
      <c r="P16" s="238" t="str">
        <f>IF(O16=1,VLOOKUP(1,B15:K16,5,0),"")</f>
        <v>RAFAEL SALAZAR HERNÁNDEZ</v>
      </c>
      <c r="Q16" s="138">
        <f>IF(O16=1,VLOOKUP(1,B15:K16,6,0),"")</f>
        <v>35</v>
      </c>
      <c r="R16" s="138">
        <f>IF(O16=1,H15,"")</f>
        <v>50</v>
      </c>
      <c r="S16" s="139">
        <f>IF(O16=1,VLOOKUP(1,B15:K16,8,0),"")</f>
        <v>0.7</v>
      </c>
      <c r="T16" s="138">
        <f>IF(O16=1,VLOOKUP(1,B15:K16,9,0),"")</f>
        <v>5</v>
      </c>
      <c r="U16" s="138">
        <f>IF(O16=1,VLOOKUP(1,B15:K16,10,0),"")</f>
        <v>2</v>
      </c>
      <c r="X16" s="238">
        <f>IF(O16=2,VLOOKUP(2,B15:K16,5,0),"")</f>
      </c>
      <c r="Y16" s="138">
        <f>IF(O16=2,VLOOKUP(2,B15:K16,6,0),"")</f>
      </c>
      <c r="Z16" s="138">
        <f>IF(O16=2,H15,"")</f>
      </c>
      <c r="AA16" s="139">
        <f>IF(O16=2,VLOOKUP(2,B15:K16,8,0),"")</f>
      </c>
      <c r="AB16" s="138">
        <f>IF(O16=2,VLOOKUP(2,B15:K16,9,0),"")</f>
      </c>
      <c r="AC16" s="138">
        <f>IF(O16=2,VLOOKUP(2,B15:K16,10,0),"")</f>
      </c>
      <c r="AG16" s="168" t="s">
        <v>319</v>
      </c>
      <c r="AH16" s="89" t="s">
        <v>319</v>
      </c>
      <c r="AI16" s="89" t="s">
        <v>319</v>
      </c>
      <c r="AJ16" s="247" t="s">
        <v>319</v>
      </c>
      <c r="AK16" s="89" t="s">
        <v>319</v>
      </c>
      <c r="AL16" s="89" t="s">
        <v>319</v>
      </c>
      <c r="AN16" s="169"/>
      <c r="AO16" s="169"/>
      <c r="AP16" s="251" t="s">
        <v>319</v>
      </c>
      <c r="AQ16" s="251" t="s">
        <v>319</v>
      </c>
      <c r="AR16" s="251" t="s">
        <v>319</v>
      </c>
      <c r="AS16" s="251" t="s">
        <v>319</v>
      </c>
      <c r="AT16" s="251" t="s">
        <v>319</v>
      </c>
      <c r="AU16" s="251" t="s">
        <v>319</v>
      </c>
    </row>
    <row r="17" spans="2:47" ht="21" customHeight="1" thickTop="1">
      <c r="B17" s="256">
        <f t="shared" si="0"/>
        <v>1</v>
      </c>
      <c r="C17" s="658"/>
      <c r="D17" s="204">
        <v>0.4791666666666667</v>
      </c>
      <c r="E17" s="104">
        <v>10</v>
      </c>
      <c r="F17" s="207" t="str">
        <f>VLOOKUP(E17,'Ranquing Inicial'!$B$6:$K$22,2,0)</f>
        <v>XAVIER FONELLOSA CASANOVAS</v>
      </c>
      <c r="G17" s="209">
        <v>40</v>
      </c>
      <c r="H17" s="652">
        <v>38</v>
      </c>
      <c r="I17" s="233">
        <f>IF(H17="","",G17/H17)</f>
        <v>1.0526315789473684</v>
      </c>
      <c r="J17" s="209">
        <v>8</v>
      </c>
      <c r="K17" s="210">
        <f>IF(H17="","",IF(G17&lt;G18,0,IF(G17&gt;G18,2,1)))</f>
        <v>2</v>
      </c>
      <c r="L17" s="200" t="str">
        <f t="shared" si="1"/>
        <v>1º</v>
      </c>
      <c r="M17" s="237"/>
      <c r="N17" s="112">
        <f t="shared" si="2"/>
        <v>2.001060631578947</v>
      </c>
      <c r="O17" s="236">
        <f>IF(ISERROR(I17),"",RANK(N17,N17:N18))</f>
        <v>1</v>
      </c>
      <c r="P17" s="238" t="str">
        <f>IF(O17=1,VLOOKUP(1,B17:K18,5,0),"")</f>
        <v>XAVIER FONELLOSA CASANOVAS</v>
      </c>
      <c r="Q17" s="138">
        <f>IF(O17=1,VLOOKUP(1,B17:K18,6,0),"")</f>
        <v>40</v>
      </c>
      <c r="R17" s="138">
        <f>IF(O17=1,H17,"")</f>
        <v>38</v>
      </c>
      <c r="S17" s="139">
        <f>IF(O17=1,VLOOKUP(1,B17:K18,8,0),"")</f>
        <v>1.0526315789473684</v>
      </c>
      <c r="T17" s="138">
        <f>IF(O17=1,VLOOKUP(1,B17:K18,9,0),"")</f>
        <v>8</v>
      </c>
      <c r="U17" s="138">
        <f>IF(O17=1,VLOOKUP(1,B17:K18,10,0),"")</f>
        <v>2</v>
      </c>
      <c r="X17" s="137">
        <f>IF(O17=2,VLOOKUP(2,B17:K18,5,0),"")</f>
      </c>
      <c r="Y17" s="138">
        <f>IF(O17=2,VLOOKUP(2,B17:K18,6,0),"")</f>
      </c>
      <c r="Z17" s="138">
        <f>IF(O17=2,H17,"")</f>
      </c>
      <c r="AA17" s="139">
        <f>IF(O17=2,VLOOKUP(2,B17:K18,8,0),"")</f>
      </c>
      <c r="AB17" s="138">
        <f>IF(O17=2,VLOOKUP(2,B17:K18,9,0),"")</f>
      </c>
      <c r="AC17" s="138">
        <f>IF(O17=2,VLOOKUP(2,B17:K18,10,0),"")</f>
      </c>
      <c r="AG17" s="168" t="s">
        <v>319</v>
      </c>
      <c r="AH17" s="89" t="s">
        <v>319</v>
      </c>
      <c r="AI17" s="89" t="s">
        <v>319</v>
      </c>
      <c r="AJ17" s="247" t="s">
        <v>319</v>
      </c>
      <c r="AK17" s="89" t="s">
        <v>319</v>
      </c>
      <c r="AL17" s="89" t="s">
        <v>319</v>
      </c>
      <c r="AN17" s="169"/>
      <c r="AO17" s="169"/>
      <c r="AP17" s="251" t="s">
        <v>319</v>
      </c>
      <c r="AQ17" s="251" t="s">
        <v>319</v>
      </c>
      <c r="AR17" s="251" t="s">
        <v>319</v>
      </c>
      <c r="AS17" s="251" t="s">
        <v>319</v>
      </c>
      <c r="AT17" s="251" t="s">
        <v>319</v>
      </c>
      <c r="AU17" s="251" t="s">
        <v>319</v>
      </c>
    </row>
    <row r="18" spans="2:47" ht="21" customHeight="1" thickBot="1">
      <c r="B18" s="256">
        <f t="shared" si="0"/>
        <v>2</v>
      </c>
      <c r="C18" s="658"/>
      <c r="D18" s="206" t="s">
        <v>306</v>
      </c>
      <c r="E18" s="102">
        <v>23</v>
      </c>
      <c r="F18" s="208" t="str">
        <f>VLOOKUP(E18,'Clasificación Grupos'!$B$7:BL20,2,0)</f>
        <v>FRANCISCO HERNÁNDEZ HERNÁNDEZ</v>
      </c>
      <c r="G18" s="213">
        <v>19</v>
      </c>
      <c r="H18" s="653"/>
      <c r="I18" s="234">
        <f>IF(H17="","",G18/H17)</f>
        <v>0.5</v>
      </c>
      <c r="J18" s="213">
        <v>2</v>
      </c>
      <c r="K18" s="214">
        <f>IF(H17="","",IF(G18&lt;G17,0,IF(G18&gt;G17,2,1)))</f>
        <v>0</v>
      </c>
      <c r="L18" s="201" t="str">
        <f t="shared" si="1"/>
        <v>2º</v>
      </c>
      <c r="M18" s="237"/>
      <c r="N18" s="112">
        <f t="shared" si="2"/>
        <v>0.0005020000000000001</v>
      </c>
      <c r="O18" s="236">
        <f>IF(ISERROR(I18),"",RANK(N18,N17:N18))</f>
        <v>2</v>
      </c>
      <c r="P18" s="238">
        <f>IF(O18=1,VLOOKUP(1,B17:K18,5,0),"")</f>
      </c>
      <c r="Q18" s="138">
        <f>IF(O18=1,VLOOKUP(1,B17:K18,6,0),"")</f>
      </c>
      <c r="R18" s="138">
        <f>IF(O18=1,H17,"")</f>
      </c>
      <c r="S18" s="139">
        <f>IF(O18=1,VLOOKUP(1,B17:K18,8,0),"")</f>
      </c>
      <c r="T18" s="138">
        <f>IF(O18=1,VLOOKUP(1,B17:K18,9,0),"")</f>
      </c>
      <c r="U18" s="138">
        <f>IF(O18=1,VLOOKUP(1,B17:K18,10,0),"")</f>
      </c>
      <c r="X18" s="238" t="str">
        <f>IF(O18=2,VLOOKUP(2,B17:K18,5,0),"")</f>
        <v>FRANCISCO HERNÁNDEZ HERNÁNDEZ</v>
      </c>
      <c r="Y18" s="138">
        <f>IF(O18=2,VLOOKUP(2,B17:K18,6,0),"")</f>
        <v>19</v>
      </c>
      <c r="Z18" s="138">
        <f>IF(O18=2,H17,"")</f>
        <v>38</v>
      </c>
      <c r="AA18" s="139">
        <f>IF(O18=2,VLOOKUP(2,B17:K18,8,0),"")</f>
        <v>0.5</v>
      </c>
      <c r="AB18" s="138">
        <f>IF(O18=2,VLOOKUP(2,B17:K18,9,0),"")</f>
        <v>2</v>
      </c>
      <c r="AC18" s="138">
        <f>IF(O18=2,VLOOKUP(2,B17:K18,10,0),"")</f>
        <v>0</v>
      </c>
      <c r="AG18" s="168" t="s">
        <v>319</v>
      </c>
      <c r="AH18" s="89" t="s">
        <v>319</v>
      </c>
      <c r="AI18" s="89" t="s">
        <v>319</v>
      </c>
      <c r="AJ18" s="247" t="s">
        <v>319</v>
      </c>
      <c r="AK18" s="89" t="s">
        <v>319</v>
      </c>
      <c r="AL18" s="89" t="s">
        <v>319</v>
      </c>
      <c r="AN18" s="169"/>
      <c r="AO18" s="169"/>
      <c r="AP18" s="251" t="s">
        <v>319</v>
      </c>
      <c r="AQ18" s="251" t="s">
        <v>319</v>
      </c>
      <c r="AR18" s="251" t="s">
        <v>319</v>
      </c>
      <c r="AS18" s="251" t="s">
        <v>319</v>
      </c>
      <c r="AT18" s="251" t="s">
        <v>319</v>
      </c>
      <c r="AU18" s="251" t="s">
        <v>319</v>
      </c>
    </row>
    <row r="19" spans="2:47" ht="21" customHeight="1" thickTop="1">
      <c r="B19" s="256">
        <f t="shared" si="0"/>
        <v>1</v>
      </c>
      <c r="C19" s="658"/>
      <c r="D19" s="204">
        <v>0.4791666666666667</v>
      </c>
      <c r="E19" s="91">
        <v>11</v>
      </c>
      <c r="F19" s="207" t="str">
        <f>VLOOKUP(E19,'Ranquing Inicial'!$B$6:$K$22,2,0)</f>
        <v>MANUEL PASTOR RIVAS</v>
      </c>
      <c r="G19" s="209">
        <v>36</v>
      </c>
      <c r="H19" s="652">
        <v>50</v>
      </c>
      <c r="I19" s="233">
        <f>IF(H19="","",G19/H19)</f>
        <v>0.72</v>
      </c>
      <c r="J19" s="209">
        <v>4</v>
      </c>
      <c r="K19" s="210">
        <f>IF(H19="","",IF(G19&lt;G20,0,IF(G19&gt;G20,2,1)))</f>
        <v>2</v>
      </c>
      <c r="L19" s="200" t="str">
        <f t="shared" si="1"/>
        <v>1º</v>
      </c>
      <c r="M19" s="237"/>
      <c r="N19" s="112">
        <f t="shared" si="2"/>
        <v>2.000724</v>
      </c>
      <c r="O19" s="236">
        <f>IF(ISERROR(I19),"",RANK(N19,N19:N20))</f>
        <v>1</v>
      </c>
      <c r="P19" s="238" t="str">
        <f>IF(O19=1,VLOOKUP(1,B19:K20,5,0),"")</f>
        <v>MANUEL PASTOR RIVAS</v>
      </c>
      <c r="Q19" s="138">
        <f>IF(O19=1,VLOOKUP(1,B19:K20,6,0),"")</f>
        <v>36</v>
      </c>
      <c r="R19" s="138">
        <f>IF(O19=1,H19,"")</f>
        <v>50</v>
      </c>
      <c r="S19" s="139">
        <f>IF(O19=1,VLOOKUP(1,B19:K20,8,0),"")</f>
        <v>0.72</v>
      </c>
      <c r="T19" s="138">
        <f>IF(O19=1,VLOOKUP(1,B19:K20,9,0),"")</f>
        <v>4</v>
      </c>
      <c r="U19" s="138">
        <f>IF(O19=1,VLOOKUP(1,B19:K20,10,0),"")</f>
        <v>2</v>
      </c>
      <c r="X19" s="137">
        <f>IF(O19=2,VLOOKUP(2,B19:K20,5,0),"")</f>
      </c>
      <c r="Y19" s="138">
        <f>IF(O19=2,VLOOKUP(2,B19:K20,6,0),"")</f>
      </c>
      <c r="Z19" s="138">
        <f>IF(O19=2,H19,"")</f>
      </c>
      <c r="AA19" s="139">
        <f>IF(O19=2,VLOOKUP(2,B19:K20,8,0),"")</f>
      </c>
      <c r="AB19" s="138">
        <f>IF(O19=2,VLOOKUP(2,B19:K20,9,0),"")</f>
      </c>
      <c r="AC19" s="138">
        <f>IF(O19=2,VLOOKUP(2,B19:K20,10,0),"")</f>
      </c>
      <c r="AG19" s="168" t="s">
        <v>319</v>
      </c>
      <c r="AH19" s="89" t="s">
        <v>319</v>
      </c>
      <c r="AI19" s="89" t="s">
        <v>319</v>
      </c>
      <c r="AJ19" s="247" t="s">
        <v>319</v>
      </c>
      <c r="AK19" s="89" t="s">
        <v>319</v>
      </c>
      <c r="AL19" s="89" t="s">
        <v>319</v>
      </c>
      <c r="AN19" s="169"/>
      <c r="AO19" s="169"/>
      <c r="AP19" s="251" t="s">
        <v>319</v>
      </c>
      <c r="AQ19" s="251" t="s">
        <v>319</v>
      </c>
      <c r="AR19" s="251" t="s">
        <v>319</v>
      </c>
      <c r="AS19" s="251" t="s">
        <v>319</v>
      </c>
      <c r="AT19" s="251" t="s">
        <v>319</v>
      </c>
      <c r="AU19" s="251" t="s">
        <v>319</v>
      </c>
    </row>
    <row r="20" spans="2:47" ht="21" customHeight="1" thickBot="1">
      <c r="B20" s="256">
        <f t="shared" si="0"/>
        <v>2</v>
      </c>
      <c r="C20" s="658"/>
      <c r="D20" s="206" t="s">
        <v>308</v>
      </c>
      <c r="E20" s="97">
        <v>22</v>
      </c>
      <c r="F20" s="208" t="str">
        <f>VLOOKUP(E20,'Clasificación Grupos'!$B$7:BL22,2,0)</f>
        <v>JUAN ROJALS VALLS</v>
      </c>
      <c r="G20" s="211">
        <v>31</v>
      </c>
      <c r="H20" s="653"/>
      <c r="I20" s="234">
        <f>IF(H19="","",G20/H19)</f>
        <v>0.62</v>
      </c>
      <c r="J20" s="211">
        <v>4</v>
      </c>
      <c r="K20" s="212">
        <f>IF(H19="","",IF(G20&lt;G19,0,IF(G20&gt;G19,2,1)))</f>
        <v>0</v>
      </c>
      <c r="L20" s="201" t="str">
        <f t="shared" si="1"/>
        <v>2º</v>
      </c>
      <c r="M20" s="237"/>
      <c r="N20" s="112">
        <f t="shared" si="2"/>
        <v>0.000624</v>
      </c>
      <c r="O20" s="236">
        <f>IF(ISERROR(I20),"",RANK(N20,N19:N20))</f>
        <v>2</v>
      </c>
      <c r="P20" s="238">
        <f>IF(O20=1,VLOOKUP(1,B19:K20,5,0),"")</f>
      </c>
      <c r="Q20" s="138">
        <f>IF(O20=1,VLOOKUP(1,B19:K20,6,0),"")</f>
      </c>
      <c r="R20" s="138">
        <f>IF(O20=1,H19,"")</f>
      </c>
      <c r="S20" s="139">
        <f>IF(O20=1,VLOOKUP(1,B19:K20,8,0),"")</f>
      </c>
      <c r="T20" s="138">
        <f>IF(O20=1,VLOOKUP(1,B19:K20,9,0),"")</f>
      </c>
      <c r="U20" s="138">
        <f>IF(O20=1,VLOOKUP(1,B19:K20,10,0),"")</f>
      </c>
      <c r="X20" s="238" t="str">
        <f>IF(O20=2,VLOOKUP(2,B19:K20,5,0),"")</f>
        <v>JUAN ROJALS VALLS</v>
      </c>
      <c r="Y20" s="138">
        <f>IF(O20=2,VLOOKUP(2,B19:K20,6,0),"")</f>
        <v>31</v>
      </c>
      <c r="Z20" s="138">
        <f>IF(O20=2,H19,"")</f>
        <v>50</v>
      </c>
      <c r="AA20" s="139">
        <f>IF(O20=2,VLOOKUP(2,B19:K20,8,0),"")</f>
        <v>0.62</v>
      </c>
      <c r="AB20" s="138">
        <f>IF(O20=2,VLOOKUP(2,B19:K20,9,0),"")</f>
        <v>4</v>
      </c>
      <c r="AC20" s="138">
        <f>IF(O20=2,VLOOKUP(2,B19:K20,10,0),"")</f>
        <v>0</v>
      </c>
      <c r="AG20" s="168" t="s">
        <v>319</v>
      </c>
      <c r="AH20" s="89" t="s">
        <v>319</v>
      </c>
      <c r="AI20" s="89" t="s">
        <v>319</v>
      </c>
      <c r="AJ20" s="247" t="s">
        <v>319</v>
      </c>
      <c r="AK20" s="89" t="s">
        <v>319</v>
      </c>
      <c r="AL20" s="89" t="s">
        <v>319</v>
      </c>
      <c r="AN20" s="169"/>
      <c r="AO20" s="169"/>
      <c r="AP20" s="251" t="s">
        <v>319</v>
      </c>
      <c r="AQ20" s="251" t="s">
        <v>319</v>
      </c>
      <c r="AR20" s="251" t="s">
        <v>319</v>
      </c>
      <c r="AS20" s="251" t="s">
        <v>319</v>
      </c>
      <c r="AT20" s="251" t="s">
        <v>319</v>
      </c>
      <c r="AU20" s="251" t="s">
        <v>319</v>
      </c>
    </row>
    <row r="21" spans="2:47" ht="21" customHeight="1" thickTop="1">
      <c r="B21" s="256">
        <f t="shared" si="0"/>
        <v>1</v>
      </c>
      <c r="C21" s="658"/>
      <c r="D21" s="204">
        <v>0.4791666666666667</v>
      </c>
      <c r="E21" s="91">
        <v>12</v>
      </c>
      <c r="F21" s="207" t="str">
        <f>VLOOKUP(E21,'Ranquing Inicial'!$B$6:$K$22,2,0)</f>
        <v>JESÚS GONZÁLEZ LÓPEZ</v>
      </c>
      <c r="G21" s="209">
        <v>40</v>
      </c>
      <c r="H21" s="652">
        <v>50</v>
      </c>
      <c r="I21" s="233">
        <f>IF(H21="","",G21/H21)</f>
        <v>0.8</v>
      </c>
      <c r="J21" s="209">
        <v>6</v>
      </c>
      <c r="K21" s="210">
        <f>IF(H21="","",IF(G21&lt;G22,0,IF(G21&gt;G22,2,1)))</f>
        <v>2</v>
      </c>
      <c r="L21" s="200" t="str">
        <f t="shared" si="1"/>
        <v>1º</v>
      </c>
      <c r="M21" s="237"/>
      <c r="N21" s="112">
        <f t="shared" si="2"/>
        <v>2.000806</v>
      </c>
      <c r="O21" s="236">
        <f>IF(ISERROR(I21),"",RANK(N21,N21:N22))</f>
        <v>1</v>
      </c>
      <c r="P21" s="238" t="str">
        <f>IF(O21=1,VLOOKUP(1,B21:K22,5,0),"")</f>
        <v>JESÚS GONZÁLEZ LÓPEZ</v>
      </c>
      <c r="Q21" s="138">
        <f>IF(O21=1,VLOOKUP(1,B21:K22,6,0),"")</f>
        <v>40</v>
      </c>
      <c r="R21" s="138">
        <f>IF(O21=1,H21,"")</f>
        <v>50</v>
      </c>
      <c r="S21" s="139">
        <f>IF(O21=1,VLOOKUP(1,B21:K22,8,0),"")</f>
        <v>0.8</v>
      </c>
      <c r="T21" s="138">
        <f>IF(O21=1,VLOOKUP(1,B21:K22,9,0),"")</f>
        <v>6</v>
      </c>
      <c r="U21" s="138">
        <f>IF(O21=1,VLOOKUP(1,B21:K22,10,0),"")</f>
        <v>2</v>
      </c>
      <c r="X21" s="137">
        <f>IF(O21=2,VLOOKUP(2,B21:K22,5,0),"")</f>
      </c>
      <c r="Y21" s="138">
        <f>IF(O21=2,VLOOKUP(2,B21:K22,6,0),"")</f>
      </c>
      <c r="Z21" s="138">
        <f>IF(O21=2,H21,"")</f>
      </c>
      <c r="AA21" s="139">
        <f>IF(O21=2,VLOOKUP(2,B21:K22,8,0),"")</f>
      </c>
      <c r="AB21" s="138">
        <f>IF(O21=2,VLOOKUP(2,B21:K22,9,0),"")</f>
      </c>
      <c r="AC21" s="138">
        <f>IF(O21=2,VLOOKUP(2,B21:K22,10,0),"")</f>
      </c>
      <c r="AG21" s="168" t="s">
        <v>319</v>
      </c>
      <c r="AH21" s="89" t="s">
        <v>319</v>
      </c>
      <c r="AI21" s="89" t="s">
        <v>319</v>
      </c>
      <c r="AJ21" s="247" t="s">
        <v>319</v>
      </c>
      <c r="AK21" s="89" t="s">
        <v>319</v>
      </c>
      <c r="AL21" s="89" t="s">
        <v>319</v>
      </c>
      <c r="AN21" s="169"/>
      <c r="AO21" s="169"/>
      <c r="AP21" s="251" t="s">
        <v>319</v>
      </c>
      <c r="AQ21" s="251" t="s">
        <v>319</v>
      </c>
      <c r="AR21" s="251" t="s">
        <v>319</v>
      </c>
      <c r="AS21" s="251" t="s">
        <v>319</v>
      </c>
      <c r="AT21" s="251" t="s">
        <v>319</v>
      </c>
      <c r="AU21" s="251" t="s">
        <v>319</v>
      </c>
    </row>
    <row r="22" spans="2:47" ht="21" customHeight="1" thickBot="1">
      <c r="B22" s="256">
        <f t="shared" si="0"/>
        <v>2</v>
      </c>
      <c r="C22" s="658"/>
      <c r="D22" s="206" t="s">
        <v>307</v>
      </c>
      <c r="E22" s="102">
        <v>21</v>
      </c>
      <c r="F22" s="208" t="str">
        <f>VLOOKUP(E22,'Clasificación Grupos'!$B$7:BL24,2,0)</f>
        <v>MANEL LOZANO HERRERO</v>
      </c>
      <c r="G22" s="211">
        <v>35</v>
      </c>
      <c r="H22" s="653"/>
      <c r="I22" s="234">
        <f>IF(H21="","",G22/H21)</f>
        <v>0.7</v>
      </c>
      <c r="J22" s="211">
        <v>5</v>
      </c>
      <c r="K22" s="212">
        <f>IF(H21="","",IF(G22&lt;G21,0,IF(G22&gt;G21,2,1)))</f>
        <v>0</v>
      </c>
      <c r="L22" s="201" t="str">
        <f t="shared" si="1"/>
        <v>2º</v>
      </c>
      <c r="M22" s="237"/>
      <c r="N22" s="112">
        <f t="shared" si="2"/>
        <v>0.000705</v>
      </c>
      <c r="O22" s="236">
        <f>IF(ISERROR(I22),"",RANK(N22,N21:N22))</f>
        <v>2</v>
      </c>
      <c r="P22" s="238">
        <f>IF(O22=1,VLOOKUP(1,B21:K22,5,0),"")</f>
      </c>
      <c r="Q22" s="138">
        <f>IF(O22=1,VLOOKUP(1,B21:K22,6,0),"")</f>
      </c>
      <c r="R22" s="138">
        <f>IF(O22=1,H21,"")</f>
      </c>
      <c r="S22" s="139">
        <f>IF(O22=1,VLOOKUP(1,B21:K22,8,0),"")</f>
      </c>
      <c r="T22" s="138">
        <f>IF(O22=1,VLOOKUP(1,B21:K22,9,0),"")</f>
      </c>
      <c r="U22" s="138">
        <f>IF(O22=1,VLOOKUP(1,B21:K22,10,0),"")</f>
      </c>
      <c r="X22" s="238" t="str">
        <f>IF(O22=2,VLOOKUP(2,B21:K22,5,0),"")</f>
        <v>MANEL LOZANO HERRERO</v>
      </c>
      <c r="Y22" s="138">
        <f>IF(O22=2,VLOOKUP(2,B21:K22,6,0),"")</f>
        <v>35</v>
      </c>
      <c r="Z22" s="138">
        <f>IF(O22=2,H21,"")</f>
        <v>50</v>
      </c>
      <c r="AA22" s="139">
        <f>IF(O22=2,VLOOKUP(2,B21:K22,8,0),"")</f>
        <v>0.7</v>
      </c>
      <c r="AB22" s="138">
        <f>IF(O22=2,VLOOKUP(2,B21:K22,9,0),"")</f>
        <v>5</v>
      </c>
      <c r="AC22" s="138">
        <f>IF(O22=2,VLOOKUP(2,B21:K22,10,0),"")</f>
        <v>0</v>
      </c>
      <c r="AG22" s="168" t="s">
        <v>319</v>
      </c>
      <c r="AH22" s="89" t="s">
        <v>319</v>
      </c>
      <c r="AI22" s="89" t="s">
        <v>319</v>
      </c>
      <c r="AJ22" s="247" t="s">
        <v>319</v>
      </c>
      <c r="AK22" s="89" t="s">
        <v>319</v>
      </c>
      <c r="AL22" s="89" t="s">
        <v>319</v>
      </c>
      <c r="AN22" s="169"/>
      <c r="AO22" s="169"/>
      <c r="AP22" s="251" t="s">
        <v>319</v>
      </c>
      <c r="AQ22" s="251" t="s">
        <v>319</v>
      </c>
      <c r="AR22" s="251" t="s">
        <v>319</v>
      </c>
      <c r="AS22" s="251" t="s">
        <v>319</v>
      </c>
      <c r="AT22" s="251" t="s">
        <v>319</v>
      </c>
      <c r="AU22" s="251" t="s">
        <v>319</v>
      </c>
    </row>
    <row r="23" spans="2:47" ht="21" customHeight="1" thickTop="1">
      <c r="B23" s="256">
        <f t="shared" si="0"/>
        <v>1</v>
      </c>
      <c r="C23" s="655" t="s">
        <v>313</v>
      </c>
      <c r="D23" s="204">
        <v>0.5625</v>
      </c>
      <c r="E23" s="91">
        <v>5</v>
      </c>
      <c r="F23" s="207" t="str">
        <f>VLOOKUP(E23,'Ranquing Inicial'!$B$6:$K$22,2,0)</f>
        <v>ESTEVE MATA PARDO</v>
      </c>
      <c r="G23" s="209">
        <v>40</v>
      </c>
      <c r="H23" s="652">
        <v>35</v>
      </c>
      <c r="I23" s="233">
        <f>IF(H23="","",G23/H23)</f>
        <v>1.1428571428571428</v>
      </c>
      <c r="J23" s="209">
        <v>10</v>
      </c>
      <c r="K23" s="210">
        <f>IF(H23="","",IF(G23&lt;G24,0,IF(G23&gt;G24,2,1)))</f>
        <v>2</v>
      </c>
      <c r="L23" s="200" t="str">
        <f t="shared" si="1"/>
        <v>1º</v>
      </c>
      <c r="M23" s="237"/>
      <c r="N23" s="112">
        <f t="shared" si="2"/>
        <v>2.0011528571428574</v>
      </c>
      <c r="O23" s="236">
        <f>IF(ISERROR(I23),"",RANK(N23,N23:N24))</f>
        <v>1</v>
      </c>
      <c r="P23" s="238" t="str">
        <f>IF(O23=1,VLOOKUP(1,B23:K24,5,0),"")</f>
        <v>ESTEVE MATA PARDO</v>
      </c>
      <c r="Q23" s="138">
        <f>IF(O23=1,VLOOKUP(1,B23:K24,6,0),"")</f>
        <v>40</v>
      </c>
      <c r="R23" s="138">
        <f>IF(O23=1,H23,"")</f>
        <v>35</v>
      </c>
      <c r="S23" s="139">
        <f>IF(O23=1,VLOOKUP(1,B23:K24,8,0),"")</f>
        <v>1.1428571428571428</v>
      </c>
      <c r="T23" s="138">
        <f>IF(O23=1,VLOOKUP(1,B23:K24,9,0),"")</f>
        <v>10</v>
      </c>
      <c r="U23" s="138">
        <f>IF(O23=1,VLOOKUP(1,B23:K24,10,0),"")</f>
        <v>2</v>
      </c>
      <c r="X23" s="137">
        <f>IF(O23=2,VLOOKUP(2,B23:K24,5,0),"")</f>
      </c>
      <c r="Y23" s="138">
        <f>IF(O23=2,VLOOKUP(2,B23:K24,6,0),"")</f>
      </c>
      <c r="Z23" s="138">
        <f>IF(O23=2,H23,"")</f>
      </c>
      <c r="AA23" s="139">
        <f>IF(O23=2,VLOOKUP(2,B23:K24,8,0),"")</f>
      </c>
      <c r="AB23" s="138">
        <f>IF(O23=2,VLOOKUP(2,B23:K24,9,0),"")</f>
      </c>
      <c r="AC23" s="138">
        <f>IF(O23=2,VLOOKUP(2,B23:K24,10,0),"")</f>
      </c>
      <c r="AE23" s="250">
        <v>1</v>
      </c>
      <c r="AG23" s="317" t="s">
        <v>251</v>
      </c>
      <c r="AH23" s="318">
        <v>40</v>
      </c>
      <c r="AI23" s="318">
        <v>25</v>
      </c>
      <c r="AJ23" s="319">
        <v>1.6</v>
      </c>
      <c r="AK23" s="318">
        <v>7</v>
      </c>
      <c r="AL23" s="318">
        <v>2</v>
      </c>
      <c r="AN23" s="252">
        <v>1</v>
      </c>
      <c r="AP23" s="320" t="s">
        <v>226</v>
      </c>
      <c r="AQ23" s="320">
        <v>34</v>
      </c>
      <c r="AR23" s="320">
        <v>35</v>
      </c>
      <c r="AS23" s="320">
        <v>0.9714285714285714</v>
      </c>
      <c r="AT23" s="320">
        <v>4</v>
      </c>
      <c r="AU23" s="320">
        <v>0</v>
      </c>
    </row>
    <row r="24" spans="2:47" ht="21" customHeight="1" thickBot="1">
      <c r="B24" s="256">
        <f t="shared" si="0"/>
        <v>2</v>
      </c>
      <c r="C24" s="655"/>
      <c r="D24" s="205" t="s">
        <v>310</v>
      </c>
      <c r="E24" s="97">
        <v>28</v>
      </c>
      <c r="F24" s="208" t="str">
        <f>VLOOKUP(E24,'Clasificación Grupos'!$B$7:BL26,2,0)</f>
        <v>JOSÉ LUIS GONZÁLEZ SÁNCHEZ</v>
      </c>
      <c r="G24" s="211">
        <v>31</v>
      </c>
      <c r="H24" s="653"/>
      <c r="I24" s="234">
        <f>IF(H23="","",G24/H23)</f>
        <v>0.8857142857142857</v>
      </c>
      <c r="J24" s="211">
        <v>5</v>
      </c>
      <c r="K24" s="212">
        <f>IF(H23="","",IF(G24&lt;G23,0,IF(G24&gt;G23,2,1)))</f>
        <v>0</v>
      </c>
      <c r="L24" s="201" t="str">
        <f t="shared" si="1"/>
        <v>2º</v>
      </c>
      <c r="M24" s="237"/>
      <c r="N24" s="112">
        <f t="shared" si="2"/>
        <v>0.0008907142857142857</v>
      </c>
      <c r="O24" s="236">
        <f>IF(ISERROR(I24),"",RANK(N24,N23:N24))</f>
        <v>2</v>
      </c>
      <c r="P24" s="238">
        <f>IF(O24=1,VLOOKUP(1,B23:K24,5,0),"")</f>
      </c>
      <c r="Q24" s="138">
        <f>IF(O24=1,VLOOKUP(1,B23:K24,6,0),"")</f>
      </c>
      <c r="R24" s="138">
        <f>IF(O24=1,H23,"")</f>
      </c>
      <c r="S24" s="139">
        <f>IF(O24=1,VLOOKUP(1,B23:K24,8,0),"")</f>
      </c>
      <c r="T24" s="138">
        <f>IF(O24=1,VLOOKUP(1,B23:K24,9,0),"")</f>
      </c>
      <c r="U24" s="138">
        <f>IF(O24=1,VLOOKUP(1,B23:K24,10,0),"")</f>
      </c>
      <c r="X24" s="238" t="str">
        <f>IF(O24=2,VLOOKUP(2,B23:K24,5,0),"")</f>
        <v>JOSÉ LUIS GONZÁLEZ SÁNCHEZ</v>
      </c>
      <c r="Y24" s="138">
        <f>IF(O24=2,VLOOKUP(2,B23:K24,6,0),"")</f>
        <v>31</v>
      </c>
      <c r="Z24" s="138">
        <f>IF(O24=2,H23,"")</f>
        <v>35</v>
      </c>
      <c r="AA24" s="139">
        <f>IF(O24=2,VLOOKUP(2,B23:K24,8,0),"")</f>
        <v>0.8857142857142857</v>
      </c>
      <c r="AB24" s="138">
        <f>IF(O24=2,VLOOKUP(2,B23:K24,9,0),"")</f>
        <v>5</v>
      </c>
      <c r="AC24" s="138">
        <f>IF(O24=2,VLOOKUP(2,B23:K24,10,0),"")</f>
        <v>0</v>
      </c>
      <c r="AE24" s="250">
        <v>2</v>
      </c>
      <c r="AG24" s="317" t="s">
        <v>22</v>
      </c>
      <c r="AH24" s="318">
        <v>40</v>
      </c>
      <c r="AI24" s="318">
        <v>27</v>
      </c>
      <c r="AJ24" s="319">
        <v>1.4814814814814814</v>
      </c>
      <c r="AK24" s="318">
        <v>6</v>
      </c>
      <c r="AL24" s="318">
        <v>2</v>
      </c>
      <c r="AN24" s="252">
        <v>2</v>
      </c>
      <c r="AP24" s="320" t="s">
        <v>221</v>
      </c>
      <c r="AQ24" s="320">
        <v>37</v>
      </c>
      <c r="AR24" s="320">
        <v>39</v>
      </c>
      <c r="AS24" s="320">
        <v>0.9487179487179487</v>
      </c>
      <c r="AT24" s="320">
        <v>4</v>
      </c>
      <c r="AU24" s="320">
        <v>0</v>
      </c>
    </row>
    <row r="25" spans="2:47" ht="21" customHeight="1" thickTop="1">
      <c r="B25" s="256">
        <f t="shared" si="0"/>
        <v>1</v>
      </c>
      <c r="C25" s="655"/>
      <c r="D25" s="204">
        <v>0.5625</v>
      </c>
      <c r="E25" s="91">
        <v>6</v>
      </c>
      <c r="F25" s="207" t="str">
        <f>VLOOKUP(E25,'Ranquing Inicial'!$B$6:$K$22,2,0)</f>
        <v>JUAN BOUTERÍN BOTE</v>
      </c>
      <c r="G25" s="209">
        <v>40</v>
      </c>
      <c r="H25" s="652">
        <v>30</v>
      </c>
      <c r="I25" s="233">
        <f>IF(H25="","",G25/H25)</f>
        <v>1.3333333333333333</v>
      </c>
      <c r="J25" s="209">
        <v>9</v>
      </c>
      <c r="K25" s="210">
        <f>IF(H25="","",IF(G25&lt;G26,0,IF(G25&gt;G26,2,1)))</f>
        <v>2</v>
      </c>
      <c r="L25" s="200" t="str">
        <f t="shared" si="1"/>
        <v>1º</v>
      </c>
      <c r="M25" s="237"/>
      <c r="N25" s="112">
        <f t="shared" si="2"/>
        <v>2.001342333333333</v>
      </c>
      <c r="O25" s="236">
        <f>IF(ISERROR(I25),"",RANK(N25,N25:N26))</f>
        <v>1</v>
      </c>
      <c r="P25" s="238" t="str">
        <f>IF(O25=1,VLOOKUP(1,B25:K26,5,0),"")</f>
        <v>JUAN BOUTERÍN BOTE</v>
      </c>
      <c r="Q25" s="138">
        <f>IF(O25=1,VLOOKUP(1,B25:K26,6,0),"")</f>
        <v>40</v>
      </c>
      <c r="R25" s="138">
        <f>IF(O25=1,H25,"")</f>
        <v>30</v>
      </c>
      <c r="S25" s="139">
        <f>IF(O25=1,VLOOKUP(1,B25:K26,8,0),"")</f>
        <v>1.3333333333333333</v>
      </c>
      <c r="T25" s="138">
        <f>IF(O25=1,VLOOKUP(1,B25:K26,9,0),"")</f>
        <v>9</v>
      </c>
      <c r="U25" s="138">
        <f>IF(O25=1,VLOOKUP(1,B25:K26,10,0),"")</f>
        <v>2</v>
      </c>
      <c r="X25" s="137">
        <f>IF(O25=2,VLOOKUP(2,B25:K26,5,0),"")</f>
      </c>
      <c r="Y25" s="138">
        <f>IF(O25=2,VLOOKUP(2,B25:K26,6,0),"")</f>
      </c>
      <c r="Z25" s="138">
        <f>IF(O25=2,H25,"")</f>
      </c>
      <c r="AA25" s="139">
        <f>IF(O25=2,VLOOKUP(2,B25:K26,8,0),"")</f>
      </c>
      <c r="AB25" s="138">
        <f>IF(O25=2,VLOOKUP(2,B25:K26,9,0),"")</f>
      </c>
      <c r="AC25" s="138">
        <f>IF(O25=2,VLOOKUP(2,B25:K26,10,0),"")</f>
      </c>
      <c r="AE25" s="250">
        <v>3</v>
      </c>
      <c r="AG25" s="317" t="s">
        <v>24</v>
      </c>
      <c r="AH25" s="318">
        <v>40</v>
      </c>
      <c r="AI25" s="318">
        <v>29</v>
      </c>
      <c r="AJ25" s="319">
        <v>1.3793103448275863</v>
      </c>
      <c r="AK25" s="318">
        <v>8</v>
      </c>
      <c r="AL25" s="318">
        <v>2</v>
      </c>
      <c r="AN25" s="252">
        <v>3</v>
      </c>
      <c r="AP25" s="320" t="s">
        <v>227</v>
      </c>
      <c r="AQ25" s="320">
        <v>31</v>
      </c>
      <c r="AR25" s="320">
        <v>35</v>
      </c>
      <c r="AS25" s="320">
        <v>0.8857142857142857</v>
      </c>
      <c r="AT25" s="320">
        <v>5</v>
      </c>
      <c r="AU25" s="320">
        <v>0</v>
      </c>
    </row>
    <row r="26" spans="2:47" ht="21" customHeight="1" thickBot="1">
      <c r="B26" s="256">
        <f t="shared" si="0"/>
        <v>2</v>
      </c>
      <c r="C26" s="655"/>
      <c r="D26" s="206" t="s">
        <v>306</v>
      </c>
      <c r="E26" s="102">
        <v>27</v>
      </c>
      <c r="F26" s="208" t="str">
        <f>VLOOKUP(E26,'Clasificación Grupos'!$B$7:BL28,2,0)</f>
        <v>JOSEP BARGALLÓ JAUME</v>
      </c>
      <c r="G26" s="211">
        <v>21</v>
      </c>
      <c r="H26" s="653"/>
      <c r="I26" s="234">
        <f>IF(H25="","",G26/H25)</f>
        <v>0.7</v>
      </c>
      <c r="J26" s="211">
        <v>3</v>
      </c>
      <c r="K26" s="212">
        <f>IF(H25="","",IF(G26&lt;G25,0,IF(G26&gt;G25,2,1)))</f>
        <v>0</v>
      </c>
      <c r="L26" s="201" t="str">
        <f t="shared" si="1"/>
        <v>2º</v>
      </c>
      <c r="M26" s="237"/>
      <c r="N26" s="112">
        <f t="shared" si="2"/>
        <v>0.000703</v>
      </c>
      <c r="O26" s="236">
        <f>IF(ISERROR(I26),"",RANK(N26,N25:N26))</f>
        <v>2</v>
      </c>
      <c r="P26" s="238">
        <f>IF(O26=1,VLOOKUP(1,B25:K26,5,0),"")</f>
      </c>
      <c r="Q26" s="138">
        <f>IF(O26=1,VLOOKUP(1,B25:K26,6,0),"")</f>
      </c>
      <c r="R26" s="138">
        <f>IF(O26=1,H25,"")</f>
      </c>
      <c r="S26" s="139">
        <f>IF(O26=1,VLOOKUP(1,B25:K26,8,0),"")</f>
      </c>
      <c r="T26" s="138">
        <f>IF(O26=1,VLOOKUP(1,B25:K26,9,0),"")</f>
      </c>
      <c r="U26" s="138">
        <f>IF(O26=1,VLOOKUP(1,B25:K26,10,0),"")</f>
      </c>
      <c r="X26" s="238" t="str">
        <f>IF(O26=2,VLOOKUP(2,B25:K26,5,0),"")</f>
        <v>JOSEP BARGALLÓ JAUME</v>
      </c>
      <c r="Y26" s="138">
        <f>IF(O26=2,VLOOKUP(2,B25:K26,6,0),"")</f>
        <v>21</v>
      </c>
      <c r="Z26" s="138">
        <f>IF(O26=2,H25,"")</f>
        <v>30</v>
      </c>
      <c r="AA26" s="139">
        <f>IF(O26=2,VLOOKUP(2,B25:K26,8,0),"")</f>
        <v>0.7</v>
      </c>
      <c r="AB26" s="138">
        <f>IF(O26=2,VLOOKUP(2,B25:K26,9,0),"")</f>
        <v>3</v>
      </c>
      <c r="AC26" s="138">
        <f>IF(O26=2,VLOOKUP(2,B25:K26,10,0),"")</f>
        <v>0</v>
      </c>
      <c r="AE26" s="250">
        <v>4</v>
      </c>
      <c r="AG26" s="317" t="s">
        <v>252</v>
      </c>
      <c r="AH26" s="318">
        <v>40</v>
      </c>
      <c r="AI26" s="318">
        <v>30</v>
      </c>
      <c r="AJ26" s="319">
        <v>1.3333333333333333</v>
      </c>
      <c r="AK26" s="318">
        <v>9</v>
      </c>
      <c r="AL26" s="318">
        <v>2</v>
      </c>
      <c r="AN26" s="252">
        <v>4</v>
      </c>
      <c r="AP26" s="320" t="s">
        <v>228</v>
      </c>
      <c r="AQ26" s="320">
        <v>37</v>
      </c>
      <c r="AR26" s="320">
        <v>45</v>
      </c>
      <c r="AS26" s="320">
        <v>0.8222222222222222</v>
      </c>
      <c r="AT26" s="320">
        <v>5</v>
      </c>
      <c r="AU26" s="320">
        <v>0</v>
      </c>
    </row>
    <row r="27" spans="2:47" ht="21" customHeight="1" thickTop="1">
      <c r="B27" s="256">
        <f t="shared" si="0"/>
        <v>1</v>
      </c>
      <c r="C27" s="655"/>
      <c r="D27" s="204">
        <v>0.5625</v>
      </c>
      <c r="E27" s="104">
        <v>7</v>
      </c>
      <c r="F27" s="207" t="str">
        <f>VLOOKUP(E27,'Ranquing Inicial'!$B$6:$K$22,2,0)</f>
        <v>XAVIER MINGUELL ROSELLÓ</v>
      </c>
      <c r="G27" s="209">
        <v>40</v>
      </c>
      <c r="H27" s="652">
        <v>35</v>
      </c>
      <c r="I27" s="233">
        <f>IF(H27="","",G27/H27)</f>
        <v>1.1428571428571428</v>
      </c>
      <c r="J27" s="209">
        <v>6</v>
      </c>
      <c r="K27" s="210">
        <f>IF(H27="","",IF(G27&lt;G28,0,IF(G27&gt;G28,2,1)))</f>
        <v>2</v>
      </c>
      <c r="L27" s="200" t="str">
        <f t="shared" si="1"/>
        <v>1º</v>
      </c>
      <c r="M27" s="237"/>
      <c r="N27" s="112">
        <f t="shared" si="2"/>
        <v>2.0011488571428573</v>
      </c>
      <c r="O27" s="236">
        <f>IF(ISERROR(I27),"",RANK(N27,N27:N28))</f>
        <v>1</v>
      </c>
      <c r="P27" s="238" t="str">
        <f>IF(O27=1,VLOOKUP(1,B27:K28,5,0),"")</f>
        <v>XAVIER MINGUELL ROSELLÓ</v>
      </c>
      <c r="Q27" s="138">
        <f>IF(O27=1,VLOOKUP(1,B27:K28,6,0),"")</f>
        <v>40</v>
      </c>
      <c r="R27" s="138">
        <f>IF(O27=1,H27,"")</f>
        <v>35</v>
      </c>
      <c r="S27" s="139">
        <f>IF(O27=1,VLOOKUP(1,B27:K28,8,0),"")</f>
        <v>1.1428571428571428</v>
      </c>
      <c r="T27" s="138">
        <f>IF(O27=1,VLOOKUP(1,B27:K28,9,0),"")</f>
        <v>6</v>
      </c>
      <c r="U27" s="138">
        <f>IF(O27=1,VLOOKUP(1,B27:K28,10,0),"")</f>
        <v>2</v>
      </c>
      <c r="X27" s="137">
        <f>IF(O27=2,VLOOKUP(2,B27:K28,5,0),"")</f>
      </c>
      <c r="Y27" s="138">
        <f>IF(O27=2,VLOOKUP(2,B27:K28,6,0),"")</f>
      </c>
      <c r="Z27" s="138">
        <f>IF(O27=2,H27,"")</f>
      </c>
      <c r="AA27" s="139">
        <f>IF(O27=2,VLOOKUP(2,B27:K28,8,0),"")</f>
      </c>
      <c r="AB27" s="138">
        <f>IF(O27=2,VLOOKUP(2,B27:K28,9,0),"")</f>
      </c>
      <c r="AC27" s="138">
        <f>IF(O27=2,VLOOKUP(2,B27:K28,10,0),"")</f>
      </c>
      <c r="AE27" s="250">
        <v>5</v>
      </c>
      <c r="AG27" s="317" t="s">
        <v>216</v>
      </c>
      <c r="AH27" s="318">
        <v>40</v>
      </c>
      <c r="AI27" s="318">
        <v>34</v>
      </c>
      <c r="AJ27" s="319">
        <v>1.1764705882352942</v>
      </c>
      <c r="AK27" s="318">
        <v>4</v>
      </c>
      <c r="AL27" s="318">
        <v>2</v>
      </c>
      <c r="AN27" s="252">
        <v>5</v>
      </c>
      <c r="AP27" s="320" t="s">
        <v>40</v>
      </c>
      <c r="AQ27" s="320">
        <v>27</v>
      </c>
      <c r="AR27" s="320">
        <v>36</v>
      </c>
      <c r="AS27" s="320">
        <v>0.75</v>
      </c>
      <c r="AT27" s="320">
        <v>8</v>
      </c>
      <c r="AU27" s="320">
        <v>0</v>
      </c>
    </row>
    <row r="28" spans="2:47" ht="21" customHeight="1" thickBot="1">
      <c r="B28" s="256">
        <f t="shared" si="0"/>
        <v>2</v>
      </c>
      <c r="C28" s="655"/>
      <c r="D28" s="206" t="s">
        <v>308</v>
      </c>
      <c r="E28" s="102">
        <v>26</v>
      </c>
      <c r="F28" s="208" t="str">
        <f>VLOOKUP(E28,'Clasificación Grupos'!$B$7:BL30,2,0)</f>
        <v>ANTONIO GARCÍA SORIANO</v>
      </c>
      <c r="G28" s="213">
        <v>34</v>
      </c>
      <c r="H28" s="653"/>
      <c r="I28" s="234">
        <f>IF(H27="","",G28/H27)</f>
        <v>0.9714285714285714</v>
      </c>
      <c r="J28" s="213">
        <v>4</v>
      </c>
      <c r="K28" s="214">
        <f>IF(H27="","",IF(G28&lt;G27,0,IF(G28&gt;G27,2,1)))</f>
        <v>0</v>
      </c>
      <c r="L28" s="201" t="str">
        <f t="shared" si="1"/>
        <v>2º</v>
      </c>
      <c r="M28" s="237"/>
      <c r="N28" s="112">
        <f t="shared" si="2"/>
        <v>0.0009754285714285714</v>
      </c>
      <c r="O28" s="236">
        <f>IF(ISERROR(I28),"",RANK(N28,N27:N28))</f>
        <v>2</v>
      </c>
      <c r="P28" s="238">
        <f>IF(O28=1,VLOOKUP(1,B27:K28,5,0),"")</f>
      </c>
      <c r="Q28" s="138">
        <f>IF(O28=1,VLOOKUP(1,B27:K28,6,0),"")</f>
      </c>
      <c r="R28" s="138">
        <f>IF(O28=1,H27,"")</f>
      </c>
      <c r="S28" s="139">
        <f>IF(O28=1,VLOOKUP(1,B27:K28,8,0),"")</f>
      </c>
      <c r="T28" s="138">
        <f>IF(O28=1,VLOOKUP(1,B27:K28,9,0),"")</f>
      </c>
      <c r="U28" s="138">
        <f>IF(O28=1,VLOOKUP(1,B27:K28,10,0),"")</f>
      </c>
      <c r="X28" s="238" t="str">
        <f>IF(O28=2,VLOOKUP(2,B27:K28,5,0),"")</f>
        <v>ANTONIO GARCÍA SORIANO</v>
      </c>
      <c r="Y28" s="138">
        <f>IF(O28=2,VLOOKUP(2,B27:K28,6,0),"")</f>
        <v>34</v>
      </c>
      <c r="Z28" s="138">
        <f>IF(O28=2,H27,"")</f>
        <v>35</v>
      </c>
      <c r="AA28" s="139">
        <f>IF(O28=2,VLOOKUP(2,B27:K28,8,0),"")</f>
        <v>0.9714285714285714</v>
      </c>
      <c r="AB28" s="138">
        <f>IF(O28=2,VLOOKUP(2,B27:K28,9,0),"")</f>
        <v>4</v>
      </c>
      <c r="AC28" s="138">
        <f>IF(O28=2,VLOOKUP(2,B27:K28,10,0),"")</f>
        <v>0</v>
      </c>
      <c r="AE28" s="250">
        <v>6</v>
      </c>
      <c r="AG28" s="317" t="s">
        <v>25</v>
      </c>
      <c r="AH28" s="318">
        <v>40</v>
      </c>
      <c r="AI28" s="318">
        <v>35</v>
      </c>
      <c r="AJ28" s="319">
        <v>1.1428571428571428</v>
      </c>
      <c r="AK28" s="318">
        <v>10</v>
      </c>
      <c r="AL28" s="318">
        <v>2</v>
      </c>
      <c r="AN28" s="252">
        <v>6</v>
      </c>
      <c r="AP28" s="320" t="s">
        <v>44</v>
      </c>
      <c r="AQ28" s="320">
        <v>35</v>
      </c>
      <c r="AR28" s="320">
        <v>50</v>
      </c>
      <c r="AS28" s="320">
        <v>0.7</v>
      </c>
      <c r="AT28" s="320">
        <v>5</v>
      </c>
      <c r="AU28" s="320">
        <v>0</v>
      </c>
    </row>
    <row r="29" spans="2:47" ht="21" customHeight="1" thickTop="1">
      <c r="B29" s="256">
        <f t="shared" si="0"/>
        <v>1</v>
      </c>
      <c r="C29" s="655"/>
      <c r="D29" s="204">
        <v>0.5625</v>
      </c>
      <c r="E29" s="91">
        <v>8</v>
      </c>
      <c r="F29" s="207" t="str">
        <f>VLOOKUP(E29,'Ranquing Inicial'!$B$6:$K$22,2,0)</f>
        <v>JUANJO PINEDA LAFUENTE</v>
      </c>
      <c r="G29" s="209">
        <v>40</v>
      </c>
      <c r="H29" s="652">
        <v>45</v>
      </c>
      <c r="I29" s="233">
        <f>IF(H29="","",G29/H29)</f>
        <v>0.8888888888888888</v>
      </c>
      <c r="J29" s="209">
        <v>6</v>
      </c>
      <c r="K29" s="210">
        <f>IF(H29="","",IF(G29&lt;G30,0,IF(G29&gt;G30,2,1)))</f>
        <v>2</v>
      </c>
      <c r="L29" s="200" t="str">
        <f t="shared" si="1"/>
        <v>1º</v>
      </c>
      <c r="M29" s="237"/>
      <c r="N29" s="112">
        <f t="shared" si="2"/>
        <v>2.000894888888889</v>
      </c>
      <c r="O29" s="236">
        <f>IF(ISERROR(I29),"",RANK(N29,N29:N30))</f>
        <v>1</v>
      </c>
      <c r="P29" s="238" t="str">
        <f>IF(O29=1,VLOOKUP(1,B29:K30,5,0),"")</f>
        <v>JUANJO PINEDA LAFUENTE</v>
      </c>
      <c r="Q29" s="138">
        <f>IF(O29=1,VLOOKUP(1,B29:K30,6,0),"")</f>
        <v>40</v>
      </c>
      <c r="R29" s="138">
        <f>IF(O29=1,H29,"")</f>
        <v>45</v>
      </c>
      <c r="S29" s="139">
        <f>IF(O29=1,VLOOKUP(1,B29:K30,8,0),"")</f>
        <v>0.8888888888888888</v>
      </c>
      <c r="T29" s="138">
        <f>IF(O29=1,VLOOKUP(1,B29:K30,9,0),"")</f>
        <v>6</v>
      </c>
      <c r="U29" s="138">
        <f>IF(O29=1,VLOOKUP(1,B29:K30,10,0),"")</f>
        <v>2</v>
      </c>
      <c r="X29" s="137">
        <f>IF(O29=2,VLOOKUP(2,B29:K30,5,0),"")</f>
      </c>
      <c r="Y29" s="138">
        <f>IF(O29=2,VLOOKUP(2,B29:K30,6,0),"")</f>
      </c>
      <c r="Z29" s="138">
        <f>IF(O29=2,H29,"")</f>
      </c>
      <c r="AA29" s="139">
        <f>IF(O29=2,VLOOKUP(2,B29:K30,8,0),"")</f>
      </c>
      <c r="AB29" s="138">
        <f>IF(O29=2,VLOOKUP(2,B29:K30,9,0),"")</f>
      </c>
      <c r="AC29" s="138">
        <f>IF(O29=2,VLOOKUP(2,B29:K30,10,0),"")</f>
      </c>
      <c r="AE29" s="250">
        <v>7</v>
      </c>
      <c r="AG29" s="317" t="s">
        <v>217</v>
      </c>
      <c r="AH29" s="318">
        <v>40</v>
      </c>
      <c r="AI29" s="318">
        <v>35</v>
      </c>
      <c r="AJ29" s="319">
        <v>1.1428571428571428</v>
      </c>
      <c r="AK29" s="318">
        <v>6</v>
      </c>
      <c r="AL29" s="318">
        <v>2</v>
      </c>
      <c r="AN29" s="252">
        <v>7</v>
      </c>
      <c r="AP29" s="320" t="s">
        <v>254</v>
      </c>
      <c r="AQ29" s="320">
        <v>21</v>
      </c>
      <c r="AR29" s="320">
        <v>30</v>
      </c>
      <c r="AS29" s="320">
        <v>0.7</v>
      </c>
      <c r="AT29" s="320">
        <v>3</v>
      </c>
      <c r="AU29" s="320">
        <v>0</v>
      </c>
    </row>
    <row r="30" spans="2:47" ht="21" customHeight="1" thickBot="1">
      <c r="B30" s="256">
        <f t="shared" si="0"/>
        <v>2</v>
      </c>
      <c r="C30" s="655"/>
      <c r="D30" s="206" t="s">
        <v>307</v>
      </c>
      <c r="E30" s="97">
        <v>25</v>
      </c>
      <c r="F30" s="208" t="str">
        <f>VLOOKUP(E30,'Clasificación Grupos'!$B$7:BL32,2,0)</f>
        <v>RAFAEL PÉREZ ZORRILLA</v>
      </c>
      <c r="G30" s="211">
        <v>37</v>
      </c>
      <c r="H30" s="653"/>
      <c r="I30" s="234">
        <f>IF(H29="","",G30/H29)</f>
        <v>0.8222222222222222</v>
      </c>
      <c r="J30" s="211">
        <v>5</v>
      </c>
      <c r="K30" s="212">
        <f>IF(H29="","",IF(G30&lt;G29,0,IF(G30&gt;G29,2,1)))</f>
        <v>0</v>
      </c>
      <c r="L30" s="201" t="str">
        <f t="shared" si="1"/>
        <v>2º</v>
      </c>
      <c r="M30" s="237"/>
      <c r="N30" s="112">
        <f t="shared" si="2"/>
        <v>0.0008272222222222222</v>
      </c>
      <c r="O30" s="236">
        <f>IF(ISERROR(I30),"",RANK(N30,N29:N30))</f>
        <v>2</v>
      </c>
      <c r="P30" s="238">
        <f>IF(O30=1,VLOOKUP(1,B29:K30,5,0),"")</f>
      </c>
      <c r="Q30" s="138">
        <f>IF(O30=1,VLOOKUP(1,B29:K30,6,0),"")</f>
      </c>
      <c r="R30" s="138">
        <f>IF(O30=1,H29,"")</f>
      </c>
      <c r="S30" s="139">
        <f>IF(O30=1,VLOOKUP(1,B29:K30,8,0),"")</f>
      </c>
      <c r="T30" s="138">
        <f>IF(O30=1,VLOOKUP(1,B29:K30,9,0),"")</f>
      </c>
      <c r="U30" s="138">
        <f>IF(O30=1,VLOOKUP(1,B29:K30,10,0),"")</f>
      </c>
      <c r="X30" s="238" t="str">
        <f>IF(O30=2,VLOOKUP(2,B29:K30,5,0),"")</f>
        <v>RAFAEL PÉREZ ZORRILLA</v>
      </c>
      <c r="Y30" s="138">
        <f>IF(O30=2,VLOOKUP(2,B29:K30,6,0),"")</f>
        <v>37</v>
      </c>
      <c r="Z30" s="138">
        <f>IF(O30=2,H29,"")</f>
        <v>45</v>
      </c>
      <c r="AA30" s="139">
        <f>IF(O30=2,VLOOKUP(2,B29:K30,8,0),"")</f>
        <v>0.8222222222222222</v>
      </c>
      <c r="AB30" s="138">
        <f>IF(O30=2,VLOOKUP(2,B29:K30,9,0),"")</f>
        <v>5</v>
      </c>
      <c r="AC30" s="138">
        <f>IF(O30=2,VLOOKUP(2,B29:K30,10,0),"")</f>
        <v>0</v>
      </c>
      <c r="AE30" s="250">
        <v>8</v>
      </c>
      <c r="AG30" s="317" t="s">
        <v>253</v>
      </c>
      <c r="AH30" s="318">
        <v>40</v>
      </c>
      <c r="AI30" s="318">
        <v>36</v>
      </c>
      <c r="AJ30" s="319">
        <v>1.1111111111111112</v>
      </c>
      <c r="AK30" s="318">
        <v>8</v>
      </c>
      <c r="AL30" s="318">
        <v>2</v>
      </c>
      <c r="AN30" s="252">
        <v>8</v>
      </c>
      <c r="AP30" s="320" t="s">
        <v>218</v>
      </c>
      <c r="AQ30" s="320">
        <v>31</v>
      </c>
      <c r="AR30" s="320">
        <v>50</v>
      </c>
      <c r="AS30" s="320">
        <v>0.62</v>
      </c>
      <c r="AT30" s="320">
        <v>4</v>
      </c>
      <c r="AU30" s="320">
        <v>0</v>
      </c>
    </row>
    <row r="31" spans="2:47" ht="21" customHeight="1" thickTop="1">
      <c r="B31" s="256">
        <f t="shared" si="0"/>
        <v>1</v>
      </c>
      <c r="C31" s="654" t="s">
        <v>314</v>
      </c>
      <c r="D31" s="204">
        <v>0.6458333333333334</v>
      </c>
      <c r="E31" s="91">
        <v>1</v>
      </c>
      <c r="F31" s="207" t="str">
        <f>VLOOKUP(E31,'Ranquing Inicial'!$B$6:$K$22,2,0)</f>
        <v>RICARDO GARCÍA ALARCÓN</v>
      </c>
      <c r="G31" s="209">
        <v>40</v>
      </c>
      <c r="H31" s="652">
        <v>25</v>
      </c>
      <c r="I31" s="233">
        <f>IF(H31="","",G31/H31)</f>
        <v>1.6</v>
      </c>
      <c r="J31" s="209">
        <v>7</v>
      </c>
      <c r="K31" s="210">
        <f>IF(H31="","",IF(G31&lt;G32,0,IF(G31&gt;G32,2,1)))</f>
        <v>2</v>
      </c>
      <c r="L31" s="200" t="str">
        <f t="shared" si="1"/>
        <v>1º</v>
      </c>
      <c r="M31" s="237"/>
      <c r="N31" s="112">
        <f t="shared" si="2"/>
        <v>2.001607</v>
      </c>
      <c r="O31" s="236">
        <f>IF(ISERROR(I31),"",RANK(N31,N31:N32))</f>
        <v>1</v>
      </c>
      <c r="P31" s="238" t="str">
        <f>IF(O31=1,VLOOKUP(1,B31:K32,5,0),"")</f>
        <v>RICARDO GARCÍA ALARCÓN</v>
      </c>
      <c r="Q31" s="138">
        <f>IF(O31=1,VLOOKUP(1,B31:K32,6,0),"")</f>
        <v>40</v>
      </c>
      <c r="R31" s="138">
        <f>IF(O31=1,H31,"")</f>
        <v>25</v>
      </c>
      <c r="S31" s="139">
        <f>IF(O31=1,VLOOKUP(1,B31:K32,8,0),"")</f>
        <v>1.6</v>
      </c>
      <c r="T31" s="138">
        <f>IF(O31=1,VLOOKUP(1,B31:K32,9,0),"")</f>
        <v>7</v>
      </c>
      <c r="U31" s="138">
        <f>IF(O31=1,VLOOKUP(1,B31:K32,10,0),"")</f>
        <v>2</v>
      </c>
      <c r="X31" s="137">
        <f>IF(O31=2,VLOOKUP(2,B31:K32,5,0),"")</f>
      </c>
      <c r="Y31" s="138">
        <f>IF(O31=2,VLOOKUP(2,B31:K32,6,0),"")</f>
      </c>
      <c r="Z31" s="138">
        <f>IF(O31=2,H31,"")</f>
      </c>
      <c r="AA31" s="139">
        <f>IF(O31=2,VLOOKUP(2,B31:K32,8,0),"")</f>
      </c>
      <c r="AB31" s="138">
        <f>IF(O31=2,VLOOKUP(2,B31:K32,9,0),"")</f>
      </c>
      <c r="AC31" s="138">
        <f>IF(O31=2,VLOOKUP(2,B31:K32,10,0),"")</f>
      </c>
      <c r="AE31" s="250">
        <v>9</v>
      </c>
      <c r="AG31" s="317" t="s">
        <v>31</v>
      </c>
      <c r="AH31" s="318">
        <v>40</v>
      </c>
      <c r="AI31" s="318">
        <v>38</v>
      </c>
      <c r="AJ31" s="319">
        <v>1.0526315789473684</v>
      </c>
      <c r="AK31" s="318">
        <v>8</v>
      </c>
      <c r="AL31" s="318">
        <v>2</v>
      </c>
      <c r="AN31" s="252">
        <v>9</v>
      </c>
      <c r="AP31" s="320" t="s">
        <v>43</v>
      </c>
      <c r="AQ31" s="320">
        <v>31</v>
      </c>
      <c r="AR31" s="320">
        <v>50</v>
      </c>
      <c r="AS31" s="320">
        <v>0.62</v>
      </c>
      <c r="AT31" s="320">
        <v>4</v>
      </c>
      <c r="AU31" s="320">
        <v>0</v>
      </c>
    </row>
    <row r="32" spans="2:47" ht="21" customHeight="1" thickBot="1">
      <c r="B32" s="256">
        <f t="shared" si="0"/>
        <v>2</v>
      </c>
      <c r="C32" s="654"/>
      <c r="D32" s="205" t="s">
        <v>310</v>
      </c>
      <c r="E32" s="102">
        <v>32</v>
      </c>
      <c r="F32" s="208" t="str">
        <f>VLOOKUP(E32,'Clasificación Grupos'!$B$7:BL34,2,0)</f>
        <v>ENRIQUE YAÑEZ ACUÑA</v>
      </c>
      <c r="G32" s="211">
        <v>4</v>
      </c>
      <c r="H32" s="653"/>
      <c r="I32" s="234">
        <f>IF(H31="","",G32/H31)</f>
        <v>0.16</v>
      </c>
      <c r="J32" s="211">
        <v>2</v>
      </c>
      <c r="K32" s="212">
        <f>IF(H31="","",IF(G32&lt;G31,0,IF(G32&gt;G31,2,1)))</f>
        <v>0</v>
      </c>
      <c r="L32" s="201" t="str">
        <f t="shared" si="1"/>
        <v>2º</v>
      </c>
      <c r="M32" s="237"/>
      <c r="N32" s="112">
        <f t="shared" si="2"/>
        <v>0.000162</v>
      </c>
      <c r="O32" s="236">
        <f>IF(ISERROR(I32),"",RANK(N32,N31:N32))</f>
        <v>2</v>
      </c>
      <c r="P32" s="238">
        <f>IF(O32=1,VLOOKUP(1,B31:K32,5,0),"")</f>
      </c>
      <c r="Q32" s="138">
        <f>IF(O32=1,VLOOKUP(1,B31:K32,6,0),"")</f>
      </c>
      <c r="R32" s="138">
        <f>IF(O32=1,H31,"")</f>
      </c>
      <c r="S32" s="139">
        <f>IF(O32=1,VLOOKUP(1,B31:K32,8,0),"")</f>
      </c>
      <c r="T32" s="138">
        <f>IF(O32=1,VLOOKUP(1,B31:K32,9,0),"")</f>
      </c>
      <c r="U32" s="138">
        <f>IF(O32=1,VLOOKUP(1,B31:K32,10,0),"")</f>
      </c>
      <c r="X32" s="238" t="str">
        <f>IF(O32=2,VLOOKUP(2,B31:K32,5,0),"")</f>
        <v>ENRIQUE YAÑEZ ACUÑA</v>
      </c>
      <c r="Y32" s="138">
        <f>IF(O32=2,VLOOKUP(2,B31:K32,6,0),"")</f>
        <v>4</v>
      </c>
      <c r="Z32" s="138">
        <f>IF(O32=2,H31,"")</f>
        <v>25</v>
      </c>
      <c r="AA32" s="139">
        <f>IF(O32=2,VLOOKUP(2,B31:K32,8,0),"")</f>
        <v>0.16</v>
      </c>
      <c r="AB32" s="138">
        <f>IF(O32=2,VLOOKUP(2,B31:K32,9,0),"")</f>
        <v>2</v>
      </c>
      <c r="AC32" s="138">
        <f>IF(O32=2,VLOOKUP(2,B31:K32,10,0),"")</f>
        <v>0</v>
      </c>
      <c r="AE32" s="250">
        <v>10</v>
      </c>
      <c r="AG32" s="317" t="s">
        <v>222</v>
      </c>
      <c r="AH32" s="318">
        <v>40</v>
      </c>
      <c r="AI32" s="318">
        <v>39</v>
      </c>
      <c r="AJ32" s="319">
        <v>1.0256410256410255</v>
      </c>
      <c r="AK32" s="318">
        <v>4</v>
      </c>
      <c r="AL32" s="318">
        <v>2</v>
      </c>
      <c r="AN32" s="252">
        <v>10</v>
      </c>
      <c r="AP32" s="320" t="s">
        <v>41</v>
      </c>
      <c r="AQ32" s="320">
        <v>27</v>
      </c>
      <c r="AR32" s="320">
        <v>47</v>
      </c>
      <c r="AS32" s="320">
        <v>0.574468085106383</v>
      </c>
      <c r="AT32" s="320">
        <v>5</v>
      </c>
      <c r="AU32" s="320">
        <v>0</v>
      </c>
    </row>
    <row r="33" spans="2:47" ht="21" customHeight="1" thickTop="1">
      <c r="B33" s="256">
        <f t="shared" si="0"/>
        <v>1</v>
      </c>
      <c r="C33" s="654"/>
      <c r="D33" s="204">
        <v>0.6458333333333334</v>
      </c>
      <c r="E33" s="104">
        <v>2</v>
      </c>
      <c r="F33" s="207" t="str">
        <f>VLOOKUP(E33,'Ranquing Inicial'!$B$6:$K$22,2,0)</f>
        <v>ANTONIO MONTES MONFERRER</v>
      </c>
      <c r="G33" s="209">
        <v>40</v>
      </c>
      <c r="H33" s="652">
        <v>27</v>
      </c>
      <c r="I33" s="233">
        <f>IF(H33="","",G33/H33)</f>
        <v>1.4814814814814814</v>
      </c>
      <c r="J33" s="209">
        <v>6</v>
      </c>
      <c r="K33" s="210">
        <f>IF(H33="","",IF(G33&lt;G34,0,IF(G33&gt;G34,2,1)))</f>
        <v>2</v>
      </c>
      <c r="L33" s="200" t="str">
        <f t="shared" si="1"/>
        <v>1º</v>
      </c>
      <c r="M33" s="237"/>
      <c r="N33" s="112">
        <f t="shared" si="2"/>
        <v>2.0014874814814814</v>
      </c>
      <c r="O33" s="236">
        <f>IF(ISERROR(I33),"",RANK(N33,N33:N34))</f>
        <v>1</v>
      </c>
      <c r="P33" s="238" t="str">
        <f>IF(O33=1,VLOOKUP(1,B33:K34,5,0),"")</f>
        <v>ANTONIO MONTES MONFERRER</v>
      </c>
      <c r="Q33" s="138">
        <f>IF(O33=1,VLOOKUP(1,B33:K34,6,0),"")</f>
        <v>40</v>
      </c>
      <c r="R33" s="138">
        <f>IF(O33=1,H33,"")</f>
        <v>27</v>
      </c>
      <c r="S33" s="139">
        <f>IF(O33=1,VLOOKUP(1,B33:K34,8,0),"")</f>
        <v>1.4814814814814814</v>
      </c>
      <c r="T33" s="138">
        <f>IF(O33=1,VLOOKUP(1,B33:K34,9,0),"")</f>
        <v>6</v>
      </c>
      <c r="U33" s="138">
        <f>IF(O33=1,VLOOKUP(1,B33:K34,10,0),"")</f>
        <v>2</v>
      </c>
      <c r="X33" s="137">
        <f>IF(O33=2,VLOOKUP(2,B33:K34,5,0),"")</f>
      </c>
      <c r="Y33" s="138">
        <f>IF(O33=2,VLOOKUP(2,B33:K34,6,0),"")</f>
      </c>
      <c r="Z33" s="138">
        <f>IF(O33=2,H33,"")</f>
      </c>
      <c r="AA33" s="139">
        <f>IF(O33=2,VLOOKUP(2,B33:K34,8,0),"")</f>
      </c>
      <c r="AB33" s="138">
        <f>IF(O33=2,VLOOKUP(2,B33:K34,9,0),"")</f>
      </c>
      <c r="AC33" s="138">
        <f>IF(O33=2,VLOOKUP(2,B33:K34,10,0),"")</f>
      </c>
      <c r="AE33" s="250">
        <v>11</v>
      </c>
      <c r="AG33" s="317" t="s">
        <v>28</v>
      </c>
      <c r="AH33" s="318">
        <v>40</v>
      </c>
      <c r="AI33" s="318">
        <v>45</v>
      </c>
      <c r="AJ33" s="319">
        <v>0.8888888888888888</v>
      </c>
      <c r="AK33" s="318">
        <v>6</v>
      </c>
      <c r="AL33" s="318">
        <v>2</v>
      </c>
      <c r="AN33" s="252">
        <v>11</v>
      </c>
      <c r="AP33" s="320" t="s">
        <v>255</v>
      </c>
      <c r="AQ33" s="320">
        <v>19</v>
      </c>
      <c r="AR33" s="320">
        <v>34</v>
      </c>
      <c r="AS33" s="320">
        <v>0.5588235294117647</v>
      </c>
      <c r="AT33" s="320">
        <v>3</v>
      </c>
      <c r="AU33" s="320">
        <v>0</v>
      </c>
    </row>
    <row r="34" spans="2:47" ht="21" customHeight="1" thickBot="1">
      <c r="B34" s="256">
        <f t="shared" si="0"/>
        <v>2</v>
      </c>
      <c r="C34" s="654"/>
      <c r="D34" s="206" t="s">
        <v>306</v>
      </c>
      <c r="E34" s="102">
        <v>31</v>
      </c>
      <c r="F34" s="208" t="str">
        <f>VLOOKUP(E34,'Clasificación Grupos'!$B$7:BL36,2,0)</f>
        <v>JOHN JAIRO ZULETA GIRALDO</v>
      </c>
      <c r="G34" s="213">
        <v>7</v>
      </c>
      <c r="H34" s="653"/>
      <c r="I34" s="234">
        <f>IF(H33="","",G34/H33)</f>
        <v>0.25925925925925924</v>
      </c>
      <c r="J34" s="213">
        <v>2</v>
      </c>
      <c r="K34" s="214">
        <f>IF(H33="","",IF(G34&lt;G33,0,IF(G34&gt;G33,2,1)))</f>
        <v>0</v>
      </c>
      <c r="L34" s="201" t="str">
        <f t="shared" si="1"/>
        <v>2º</v>
      </c>
      <c r="M34" s="237"/>
      <c r="N34" s="112">
        <f t="shared" si="2"/>
        <v>0.00026125925925925926</v>
      </c>
      <c r="O34" s="236">
        <f>IF(ISERROR(I34),"",RANK(N34,N33:N34))</f>
        <v>2</v>
      </c>
      <c r="P34" s="238">
        <f>IF(O34=1,VLOOKUP(1,B33:K34,5,0),"")</f>
      </c>
      <c r="Q34" s="138">
        <f>IF(O34=1,VLOOKUP(1,B33:K34,6,0),"")</f>
      </c>
      <c r="R34" s="138">
        <f>IF(O34=1,H33,"")</f>
      </c>
      <c r="S34" s="139">
        <f>IF(O34=1,VLOOKUP(1,B33:K34,8,0),"")</f>
      </c>
      <c r="T34" s="138">
        <f>IF(O34=1,VLOOKUP(1,B33:K34,9,0),"")</f>
      </c>
      <c r="U34" s="138">
        <f>IF(O34=1,VLOOKUP(1,B33:K34,10,0),"")</f>
      </c>
      <c r="X34" s="238" t="str">
        <f>IF(O34=2,VLOOKUP(2,B33:K34,5,0),"")</f>
        <v>JOHN JAIRO ZULETA GIRALDO</v>
      </c>
      <c r="Y34" s="138">
        <f>IF(O34=2,VLOOKUP(2,B33:K34,6,0),"")</f>
        <v>7</v>
      </c>
      <c r="Z34" s="138">
        <f>IF(O34=2,H33,"")</f>
        <v>27</v>
      </c>
      <c r="AA34" s="139">
        <f>IF(O34=2,VLOOKUP(2,B33:K34,8,0),"")</f>
        <v>0.25925925925925924</v>
      </c>
      <c r="AB34" s="138">
        <f>IF(O34=2,VLOOKUP(2,B33:K34,9,0),"")</f>
        <v>2</v>
      </c>
      <c r="AC34" s="138">
        <f>IF(O34=2,VLOOKUP(2,B33:K34,10,0),"")</f>
        <v>0</v>
      </c>
      <c r="AE34" s="250">
        <v>12</v>
      </c>
      <c r="AG34" s="317" t="s">
        <v>220</v>
      </c>
      <c r="AH34" s="318">
        <v>40</v>
      </c>
      <c r="AI34" s="318">
        <v>47</v>
      </c>
      <c r="AJ34" s="319">
        <v>0.851063829787234</v>
      </c>
      <c r="AK34" s="318">
        <v>3</v>
      </c>
      <c r="AL34" s="318">
        <v>2</v>
      </c>
      <c r="AN34" s="252">
        <v>12</v>
      </c>
      <c r="AP34" s="320" t="s">
        <v>232</v>
      </c>
      <c r="AQ34" s="320">
        <v>16</v>
      </c>
      <c r="AR34" s="320">
        <v>29</v>
      </c>
      <c r="AS34" s="320">
        <v>0.5517241379310345</v>
      </c>
      <c r="AT34" s="320">
        <v>4</v>
      </c>
      <c r="AU34" s="320">
        <v>0</v>
      </c>
    </row>
    <row r="35" spans="2:47" ht="21" customHeight="1" thickTop="1">
      <c r="B35" s="256">
        <f t="shared" si="0"/>
        <v>1</v>
      </c>
      <c r="C35" s="654"/>
      <c r="D35" s="204">
        <v>0.6458333333333334</v>
      </c>
      <c r="E35" s="91">
        <v>3</v>
      </c>
      <c r="F35" s="207" t="str">
        <f>VLOOKUP(E35,'Ranquing Inicial'!$B$6:$K$22,2,0)</f>
        <v>ARMANDO MORENO CORTÉS</v>
      </c>
      <c r="G35" s="209">
        <v>40</v>
      </c>
      <c r="H35" s="652">
        <v>34</v>
      </c>
      <c r="I35" s="233">
        <f>IF(H35="","",G35/H35)</f>
        <v>1.1764705882352942</v>
      </c>
      <c r="J35" s="209">
        <v>4</v>
      </c>
      <c r="K35" s="210">
        <f>IF(H35="","",IF(G35&lt;G36,0,IF(G35&gt;G36,2,1)))</f>
        <v>2</v>
      </c>
      <c r="L35" s="200" t="str">
        <f t="shared" si="1"/>
        <v>1º</v>
      </c>
      <c r="M35" s="237"/>
      <c r="N35" s="112">
        <f t="shared" si="2"/>
        <v>2.0011804705882352</v>
      </c>
      <c r="O35" s="236">
        <f>IF(ISERROR(I35),"",RANK(N35,N35:N36))</f>
        <v>1</v>
      </c>
      <c r="P35" s="238" t="str">
        <f>IF(O35=1,VLOOKUP(1,B35:K36,5,0),"")</f>
        <v>ARMANDO MORENO CORTÉS</v>
      </c>
      <c r="Q35" s="138">
        <f>IF(O35=1,VLOOKUP(1,B35:K36,6,0),"")</f>
        <v>40</v>
      </c>
      <c r="R35" s="138">
        <f>IF(O35=1,H35,"")</f>
        <v>34</v>
      </c>
      <c r="S35" s="139">
        <f>IF(O35=1,VLOOKUP(1,B35:K36,8,0),"")</f>
        <v>1.1764705882352942</v>
      </c>
      <c r="T35" s="138">
        <f>IF(O35=1,VLOOKUP(1,B35:K36,9,0),"")</f>
        <v>4</v>
      </c>
      <c r="U35" s="138">
        <f>IF(O35=1,VLOOKUP(1,B35:K36,10,0),"")</f>
        <v>2</v>
      </c>
      <c r="X35" s="137">
        <f>IF(O35=2,VLOOKUP(2,B35:K36,5,0),"")</f>
      </c>
      <c r="Y35" s="138">
        <f>IF(O35=2,VLOOKUP(2,B35:K36,6,0),"")</f>
      </c>
      <c r="Z35" s="138">
        <f>IF(O35=2,H35,"")</f>
      </c>
      <c r="AA35" s="139">
        <f>IF(O35=2,VLOOKUP(2,B35:K36,8,0),"")</f>
      </c>
      <c r="AB35" s="138">
        <f>IF(O35=2,VLOOKUP(2,B35:K36,9,0),"")</f>
      </c>
      <c r="AC35" s="138">
        <f>IF(O35=2,VLOOKUP(2,B35:K36,10,0),"")</f>
      </c>
      <c r="AE35" s="250">
        <v>13</v>
      </c>
      <c r="AG35" s="317" t="s">
        <v>219</v>
      </c>
      <c r="AH35" s="318">
        <v>40</v>
      </c>
      <c r="AI35" s="318">
        <v>50</v>
      </c>
      <c r="AJ35" s="319">
        <v>0.8</v>
      </c>
      <c r="AK35" s="318">
        <v>6</v>
      </c>
      <c r="AL35" s="318">
        <v>2</v>
      </c>
      <c r="AN35" s="252">
        <v>13</v>
      </c>
      <c r="AP35" s="320" t="s">
        <v>223</v>
      </c>
      <c r="AQ35" s="320">
        <v>19</v>
      </c>
      <c r="AR35" s="320">
        <v>38</v>
      </c>
      <c r="AS35" s="320">
        <v>0.5</v>
      </c>
      <c r="AT35" s="320">
        <v>2</v>
      </c>
      <c r="AU35" s="320">
        <v>0</v>
      </c>
    </row>
    <row r="36" spans="2:47" ht="21" customHeight="1" thickBot="1">
      <c r="B36" s="256">
        <f t="shared" si="0"/>
        <v>2</v>
      </c>
      <c r="C36" s="654"/>
      <c r="D36" s="206" t="s">
        <v>308</v>
      </c>
      <c r="E36" s="97">
        <v>30</v>
      </c>
      <c r="F36" s="208" t="str">
        <f>VLOOKUP(E36,'Clasificación Grupos'!$B$7:BL38,2,0)</f>
        <v>DAVID BOSQUED TORÉ</v>
      </c>
      <c r="G36" s="211">
        <v>19</v>
      </c>
      <c r="H36" s="653"/>
      <c r="I36" s="234">
        <f>IF(H35="","",G36/H35)</f>
        <v>0.5588235294117647</v>
      </c>
      <c r="J36" s="211">
        <v>3</v>
      </c>
      <c r="K36" s="212">
        <f>IF(H35="","",IF(G36&lt;G35,0,IF(G36&gt;G35,2,1)))</f>
        <v>0</v>
      </c>
      <c r="L36" s="201" t="str">
        <f t="shared" si="1"/>
        <v>2º</v>
      </c>
      <c r="M36" s="237"/>
      <c r="N36" s="112">
        <f t="shared" si="2"/>
        <v>0.0005618235294117647</v>
      </c>
      <c r="O36" s="236">
        <f>IF(ISERROR(I36),"",RANK(N36,N35:N36))</f>
        <v>2</v>
      </c>
      <c r="P36" s="238">
        <f>IF(O36=1,VLOOKUP(1,B35:K36,5,0),"")</f>
      </c>
      <c r="Q36" s="138">
        <f>IF(O36=1,VLOOKUP(1,B35:K36,6,0),"")</f>
      </c>
      <c r="R36" s="138">
        <f>IF(O36=1,H35,"")</f>
      </c>
      <c r="S36" s="139">
        <f>IF(O36=1,VLOOKUP(1,B35:K36,8,0),"")</f>
      </c>
      <c r="T36" s="138">
        <f>IF(O36=1,VLOOKUP(1,B35:K36,9,0),"")</f>
      </c>
      <c r="U36" s="138">
        <f>IF(O36=1,VLOOKUP(1,B35:K36,10,0),"")</f>
      </c>
      <c r="X36" s="238" t="str">
        <f>IF(O36=2,VLOOKUP(2,B35:K36,5,0),"")</f>
        <v>DAVID BOSQUED TORÉ</v>
      </c>
      <c r="Y36" s="138">
        <f>IF(O36=2,VLOOKUP(2,B35:K36,6,0),"")</f>
        <v>19</v>
      </c>
      <c r="Z36" s="138">
        <f>IF(O36=2,H35,"")</f>
        <v>34</v>
      </c>
      <c r="AA36" s="139">
        <f>IF(O36=2,VLOOKUP(2,B35:K36,8,0),"")</f>
        <v>0.5588235294117647</v>
      </c>
      <c r="AB36" s="138">
        <f>IF(O36=2,VLOOKUP(2,B35:K36,9,0),"")</f>
        <v>3</v>
      </c>
      <c r="AC36" s="138">
        <f>IF(O36=2,VLOOKUP(2,B35:K36,10,0),"")</f>
        <v>0</v>
      </c>
      <c r="AE36" s="250">
        <v>14</v>
      </c>
      <c r="AG36" s="317" t="s">
        <v>33</v>
      </c>
      <c r="AH36" s="318">
        <v>36</v>
      </c>
      <c r="AI36" s="318">
        <v>50</v>
      </c>
      <c r="AJ36" s="319">
        <v>0.72</v>
      </c>
      <c r="AK36" s="318">
        <v>4</v>
      </c>
      <c r="AL36" s="318">
        <v>2</v>
      </c>
      <c r="AN36" s="252">
        <v>14</v>
      </c>
      <c r="AP36" s="320" t="s">
        <v>35</v>
      </c>
      <c r="AQ36" s="320">
        <v>23</v>
      </c>
      <c r="AR36" s="320">
        <v>50</v>
      </c>
      <c r="AS36" s="320">
        <v>0.46</v>
      </c>
      <c r="AT36" s="320">
        <v>4</v>
      </c>
      <c r="AU36" s="320">
        <v>0</v>
      </c>
    </row>
    <row r="37" spans="2:47" ht="21" customHeight="1" thickTop="1">
      <c r="B37" s="256">
        <f t="shared" si="0"/>
        <v>1</v>
      </c>
      <c r="C37" s="654"/>
      <c r="D37" s="204">
        <v>0.6458333333333334</v>
      </c>
      <c r="E37" s="91">
        <v>4</v>
      </c>
      <c r="F37" s="207" t="str">
        <f>VLOOKUP(E37,'Ranquing Inicial'!$B$6:$K$22,2,0)</f>
        <v>JAVIER YESTE DE PABLO</v>
      </c>
      <c r="G37" s="209">
        <v>40</v>
      </c>
      <c r="H37" s="652">
        <v>29</v>
      </c>
      <c r="I37" s="233">
        <f>IF(H37="","",G37/H37)</f>
        <v>1.3793103448275863</v>
      </c>
      <c r="J37" s="209">
        <v>8</v>
      </c>
      <c r="K37" s="210">
        <f>IF(H37="","",IF(G37&lt;G38,0,IF(G37&gt;G38,2,1)))</f>
        <v>2</v>
      </c>
      <c r="L37" s="200" t="str">
        <f t="shared" si="1"/>
        <v>1º</v>
      </c>
      <c r="M37" s="237"/>
      <c r="N37" s="112">
        <f t="shared" si="2"/>
        <v>2.0013873103448274</v>
      </c>
      <c r="O37" s="236">
        <f>IF(ISERROR(I37),"",RANK(N37,N37:N38))</f>
        <v>1</v>
      </c>
      <c r="P37" s="238" t="str">
        <f>IF(O37=1,VLOOKUP(1,B37:K38,5,0),"")</f>
        <v>JAVIER YESTE DE PABLO</v>
      </c>
      <c r="Q37" s="138">
        <f>IF(O37=1,VLOOKUP(1,B37:K38,6,0),"")</f>
        <v>40</v>
      </c>
      <c r="R37" s="138">
        <f>IF(O37=1,H37,"")</f>
        <v>29</v>
      </c>
      <c r="S37" s="139">
        <f>IF(O37=1,VLOOKUP(1,B37:K38,8,0),"")</f>
        <v>1.3793103448275863</v>
      </c>
      <c r="T37" s="138">
        <f>IF(O37=1,VLOOKUP(1,B37:K38,9,0),"")</f>
        <v>8</v>
      </c>
      <c r="U37" s="138">
        <f>IF(O37=1,VLOOKUP(1,B37:K38,10,0),"")</f>
        <v>2</v>
      </c>
      <c r="X37" s="137">
        <f>IF(O37=2,VLOOKUP(2,B37:K38,5,0),"")</f>
      </c>
      <c r="Y37" s="138">
        <f>IF(O37=2,VLOOKUP(2,B37:K38,6,0),"")</f>
      </c>
      <c r="Z37" s="138">
        <f>IF(O37=2,H37,"")</f>
      </c>
      <c r="AA37" s="139">
        <f>IF(O37=2,VLOOKUP(2,B37:K38,8,0),"")</f>
      </c>
      <c r="AB37" s="138">
        <f>IF(O37=2,VLOOKUP(2,B37:K38,9,0),"")</f>
      </c>
      <c r="AC37" s="138">
        <f>IF(O37=2,VLOOKUP(2,B37:K38,10,0),"")</f>
      </c>
      <c r="AE37" s="250">
        <v>15</v>
      </c>
      <c r="AG37" s="317" t="s">
        <v>225</v>
      </c>
      <c r="AH37" s="318">
        <v>35</v>
      </c>
      <c r="AI37" s="318">
        <v>50</v>
      </c>
      <c r="AJ37" s="319">
        <v>0.7</v>
      </c>
      <c r="AK37" s="318">
        <v>5</v>
      </c>
      <c r="AL37" s="318">
        <v>2</v>
      </c>
      <c r="AN37" s="252">
        <v>15</v>
      </c>
      <c r="AP37" s="320" t="s">
        <v>47</v>
      </c>
      <c r="AQ37" s="320">
        <v>7</v>
      </c>
      <c r="AR37" s="320">
        <v>27</v>
      </c>
      <c r="AS37" s="320">
        <v>0.25925925925925924</v>
      </c>
      <c r="AT37" s="320">
        <v>2</v>
      </c>
      <c r="AU37" s="320">
        <v>0</v>
      </c>
    </row>
    <row r="38" spans="2:47" ht="21" customHeight="1" thickBot="1">
      <c r="B38" s="256">
        <f t="shared" si="0"/>
        <v>2</v>
      </c>
      <c r="C38" s="654"/>
      <c r="D38" s="206" t="s">
        <v>307</v>
      </c>
      <c r="E38" s="102">
        <v>29</v>
      </c>
      <c r="F38" s="208" t="str">
        <f>VLOOKUP(E38,'Clasificación Grupos'!$B$7:BL40,2,0)</f>
        <v>RAMÓN ARBIOL MORERA</v>
      </c>
      <c r="G38" s="213">
        <v>16</v>
      </c>
      <c r="H38" s="653"/>
      <c r="I38" s="234">
        <f>IF(H37="","",G38/H37)</f>
        <v>0.5517241379310345</v>
      </c>
      <c r="J38" s="213">
        <v>4</v>
      </c>
      <c r="K38" s="214">
        <f>IF(H37="","",IF(G38&lt;G37,0,IF(G38&gt;G37,2,1)))</f>
        <v>0</v>
      </c>
      <c r="L38" s="201" t="str">
        <f t="shared" si="1"/>
        <v>2º</v>
      </c>
      <c r="M38" s="237"/>
      <c r="N38" s="112">
        <f t="shared" si="2"/>
        <v>0.0005557241379310345</v>
      </c>
      <c r="O38" s="236">
        <f>IF(ISERROR(I38),"",RANK(N38,N37:N38))</f>
        <v>2</v>
      </c>
      <c r="P38" s="238">
        <f>IF(O38=1,VLOOKUP(1,B37:K38,5,0),"")</f>
      </c>
      <c r="Q38" s="138">
        <f>IF(O38=1,VLOOKUP(1,B37:K38,6,0),"")</f>
      </c>
      <c r="R38" s="138">
        <f>IF(O38=1,H37,"")</f>
      </c>
      <c r="S38" s="139">
        <f>IF(O38=1,VLOOKUP(1,B37:K38,8,0),"")</f>
      </c>
      <c r="T38" s="138">
        <f>IF(O38=1,VLOOKUP(1,B37:K38,9,0),"")</f>
      </c>
      <c r="U38" s="138">
        <f>IF(O38=1,VLOOKUP(1,B37:K38,10,0),"")</f>
      </c>
      <c r="X38" s="238" t="str">
        <f>IF(O38=2,VLOOKUP(2,B37:K38,5,0),"")</f>
        <v>RAMÓN ARBIOL MORERA</v>
      </c>
      <c r="Y38" s="138">
        <f>IF(O38=2,VLOOKUP(2,B37:K38,6,0),"")</f>
        <v>16</v>
      </c>
      <c r="Z38" s="138">
        <f>IF(O38=2,H37,"")</f>
        <v>29</v>
      </c>
      <c r="AA38" s="139">
        <f>IF(O38=2,VLOOKUP(2,B37:K38,8,0),"")</f>
        <v>0.5517241379310345</v>
      </c>
      <c r="AB38" s="138">
        <f>IF(O38=2,VLOOKUP(2,B37:K38,9,0),"")</f>
        <v>4</v>
      </c>
      <c r="AC38" s="138">
        <f>IF(O38=2,VLOOKUP(2,B37:K38,10,0),"")</f>
        <v>0</v>
      </c>
      <c r="AE38" s="250">
        <v>16</v>
      </c>
      <c r="AG38" s="317" t="s">
        <v>37</v>
      </c>
      <c r="AH38" s="318">
        <v>34</v>
      </c>
      <c r="AI38" s="318">
        <v>50</v>
      </c>
      <c r="AJ38" s="319">
        <v>0.68</v>
      </c>
      <c r="AK38" s="318">
        <v>3</v>
      </c>
      <c r="AL38" s="318">
        <v>2</v>
      </c>
      <c r="AN38" s="252">
        <v>16</v>
      </c>
      <c r="AP38" s="320" t="s">
        <v>54</v>
      </c>
      <c r="AQ38" s="320">
        <v>4</v>
      </c>
      <c r="AR38" s="320">
        <v>25</v>
      </c>
      <c r="AS38" s="320">
        <v>0.16</v>
      </c>
      <c r="AT38" s="320">
        <v>2</v>
      </c>
      <c r="AU38" s="320">
        <v>0</v>
      </c>
    </row>
    <row r="39" spans="2:48" s="90" customFormat="1" ht="10.5" thickTop="1">
      <c r="B39" s="179"/>
      <c r="G39" s="179">
        <f>SUM(G7:G12)</f>
        <v>211</v>
      </c>
      <c r="O39" s="179"/>
      <c r="P39" s="137"/>
      <c r="Q39" s="133"/>
      <c r="R39" s="133"/>
      <c r="S39" s="133"/>
      <c r="T39" s="133"/>
      <c r="U39" s="133"/>
      <c r="V39" s="133"/>
      <c r="W39" s="134"/>
      <c r="X39" s="133"/>
      <c r="Y39" s="133"/>
      <c r="Z39" s="133"/>
      <c r="AA39" s="133"/>
      <c r="AB39" s="133"/>
      <c r="AC39" s="133"/>
      <c r="AD39" s="131"/>
      <c r="AE39" s="141"/>
      <c r="AF39" s="141"/>
      <c r="AG39" s="235"/>
      <c r="AJ39" s="249"/>
      <c r="AM39" s="131"/>
      <c r="AN39" s="141"/>
      <c r="AO39" s="141"/>
      <c r="AV39" s="134"/>
    </row>
  </sheetData>
  <sheetProtection/>
  <mergeCells count="22">
    <mergeCell ref="C2:L2"/>
    <mergeCell ref="C3:L3"/>
    <mergeCell ref="C7:C14"/>
    <mergeCell ref="C15:C22"/>
    <mergeCell ref="H7:H8"/>
    <mergeCell ref="H9:H10"/>
    <mergeCell ref="H11:H12"/>
    <mergeCell ref="H13:H14"/>
    <mergeCell ref="H15:H16"/>
    <mergeCell ref="H17:H18"/>
    <mergeCell ref="C23:C30"/>
    <mergeCell ref="H19:H20"/>
    <mergeCell ref="H21:H22"/>
    <mergeCell ref="H23:H24"/>
    <mergeCell ref="H31:H32"/>
    <mergeCell ref="H25:H26"/>
    <mergeCell ref="C31:C38"/>
    <mergeCell ref="H35:H36"/>
    <mergeCell ref="H37:H38"/>
    <mergeCell ref="H27:H28"/>
    <mergeCell ref="H29:H30"/>
    <mergeCell ref="H33:H34"/>
  </mergeCells>
  <conditionalFormatting sqref="F7:F38">
    <cfRule type="expression" priority="1" dxfId="2" stopIfTrue="1">
      <formula>'16aus'!O7=1</formula>
    </cfRule>
  </conditionalFormatting>
  <conditionalFormatting sqref="I8 I10 I12 I14 I16 I18 I20 I22 I24 I26 I28 I30 I32 I34 I36 I38">
    <cfRule type="expression" priority="2" dxfId="0" stopIfTrue="1">
      <formula>ISERROR('16aus'!I8)</formula>
    </cfRule>
    <cfRule type="cellIs" priority="3" dxfId="2" operator="greaterThan" stopIfTrue="1">
      <formula>'16aus'!#REF!</formula>
    </cfRule>
  </conditionalFormatting>
  <conditionalFormatting sqref="I7 I9 I11 I13 I15 I17 I19 I21 I23 I25 I27 I29 I31 I33 I35 I37">
    <cfRule type="expression" priority="4" dxfId="0" stopIfTrue="1">
      <formula>ISERROR('16aus'!I7)</formula>
    </cfRule>
    <cfRule type="cellIs" priority="5" dxfId="2" operator="greaterThan" stopIfTrue="1">
      <formula>'16aus'!I8</formula>
    </cfRule>
  </conditionalFormatting>
  <conditionalFormatting sqref="L7:M38">
    <cfRule type="expression" priority="6" dxfId="2" stopIfTrue="1">
      <formula>'16aus'!O7=1</formula>
    </cfRule>
    <cfRule type="expression" priority="7" dxfId="0" stopIfTrue="1">
      <formula>ISERROR('16aus'!L7)</formula>
    </cfRule>
  </conditionalFormatting>
  <conditionalFormatting sqref="N7:U38 B7:B38 X8:AC8 X10:AC10 X12:AC12 X14:AC14 X16:AC16 X18:AC18 X20:AC20 X22:AC22 X24:AC24 X26:AC26 X28:AC28 X30:AC30 X32:AC32 X34:AC34 X36:AC36 X38:AC38">
    <cfRule type="expression" priority="8" dxfId="0" stopIfTrue="1">
      <formula>ISERROR('16aus'!B7)</formula>
    </cfRule>
  </conditionalFormatting>
  <printOptions horizontalCentered="1"/>
  <pageMargins left="0.1968503937007874" right="0.1968503937007874" top="0.5905511811023623" bottom="0.1968503937007874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H85"/>
  <sheetViews>
    <sheetView showGridLines="0" workbookViewId="0" topLeftCell="A1">
      <selection activeCell="A1" sqref="A1"/>
    </sheetView>
  </sheetViews>
  <sheetFormatPr defaultColWidth="11.57421875" defaultRowHeight="12.75"/>
  <cols>
    <col min="1" max="1" width="3.00390625" style="171" customWidth="1"/>
    <col min="2" max="2" width="5.00390625" style="29" customWidth="1"/>
    <col min="3" max="3" width="35.7109375" style="171" customWidth="1"/>
    <col min="4" max="8" width="10.8515625" style="171" customWidth="1"/>
    <col min="9" max="9" width="3.00390625" style="171" customWidth="1"/>
    <col min="10" max="16384" width="11.421875" style="171" customWidth="1"/>
  </cols>
  <sheetData>
    <row r="2" spans="2:8" ht="30" customHeight="1">
      <c r="B2" s="650" t="str">
        <f>'Ranquing Inicial'!E2</f>
        <v>I OPEN TRES BANDES C.B. MONFORTE</v>
      </c>
      <c r="C2" s="650"/>
      <c r="D2" s="650"/>
      <c r="E2" s="650"/>
      <c r="F2" s="650"/>
      <c r="G2" s="650"/>
      <c r="H2" s="650"/>
    </row>
    <row r="3" spans="2:8" ht="12.75" customHeight="1">
      <c r="B3" s="228"/>
      <c r="C3" s="170"/>
      <c r="D3" s="170"/>
      <c r="E3" s="170"/>
      <c r="F3" s="170"/>
      <c r="G3" s="170"/>
      <c r="H3" s="170"/>
    </row>
    <row r="4" spans="2:8" ht="30" customHeight="1">
      <c r="B4" s="651" t="s">
        <v>315</v>
      </c>
      <c r="C4" s="651"/>
      <c r="D4" s="651"/>
      <c r="E4" s="651"/>
      <c r="F4" s="651"/>
      <c r="G4" s="651"/>
      <c r="H4" s="651"/>
    </row>
    <row r="5" spans="2:8" ht="12.75" customHeight="1">
      <c r="B5" s="229"/>
      <c r="C5" s="178"/>
      <c r="D5" s="178"/>
      <c r="E5" s="178"/>
      <c r="F5" s="178"/>
      <c r="G5" s="178"/>
      <c r="H5" s="178"/>
    </row>
    <row r="6" spans="3:8" ht="15.75" customHeight="1">
      <c r="C6" s="171" t="s">
        <v>262</v>
      </c>
      <c r="D6" s="172" t="s">
        <v>299</v>
      </c>
      <c r="E6" s="172" t="s">
        <v>298</v>
      </c>
      <c r="F6" s="172" t="s">
        <v>309</v>
      </c>
      <c r="G6" s="172" t="s">
        <v>300</v>
      </c>
      <c r="H6" s="172" t="s">
        <v>301</v>
      </c>
    </row>
    <row r="7" spans="2:8" s="216" customFormat="1" ht="24" customHeight="1">
      <c r="B7" s="239">
        <v>1</v>
      </c>
      <c r="C7" s="215" t="s">
        <v>251</v>
      </c>
      <c r="D7" s="219">
        <v>40</v>
      </c>
      <c r="E7" s="219">
        <v>25</v>
      </c>
      <c r="F7" s="220">
        <v>1.6</v>
      </c>
      <c r="G7" s="219">
        <v>7</v>
      </c>
      <c r="H7" s="221">
        <v>2</v>
      </c>
    </row>
    <row r="8" spans="2:8" s="216" customFormat="1" ht="24" customHeight="1">
      <c r="B8" s="240">
        <v>2</v>
      </c>
      <c r="C8" s="217" t="s">
        <v>22</v>
      </c>
      <c r="D8" s="222">
        <v>40</v>
      </c>
      <c r="E8" s="222">
        <v>27</v>
      </c>
      <c r="F8" s="223">
        <v>1.4814814814814814</v>
      </c>
      <c r="G8" s="222">
        <v>6</v>
      </c>
      <c r="H8" s="224">
        <v>2</v>
      </c>
    </row>
    <row r="9" spans="2:8" s="216" customFormat="1" ht="24" customHeight="1">
      <c r="B9" s="240">
        <v>3</v>
      </c>
      <c r="C9" s="217" t="s">
        <v>24</v>
      </c>
      <c r="D9" s="222">
        <v>40</v>
      </c>
      <c r="E9" s="222">
        <v>29</v>
      </c>
      <c r="F9" s="223">
        <v>1.3793103448275863</v>
      </c>
      <c r="G9" s="222">
        <v>8</v>
      </c>
      <c r="H9" s="224">
        <v>2</v>
      </c>
    </row>
    <row r="10" spans="2:8" s="216" customFormat="1" ht="24" customHeight="1">
      <c r="B10" s="240">
        <v>4</v>
      </c>
      <c r="C10" s="217" t="s">
        <v>252</v>
      </c>
      <c r="D10" s="222">
        <v>40</v>
      </c>
      <c r="E10" s="222">
        <v>30</v>
      </c>
      <c r="F10" s="223">
        <v>1.3333333333333333</v>
      </c>
      <c r="G10" s="222">
        <v>9</v>
      </c>
      <c r="H10" s="224">
        <v>2</v>
      </c>
    </row>
    <row r="11" spans="2:8" s="216" customFormat="1" ht="24" customHeight="1">
      <c r="B11" s="240">
        <v>5</v>
      </c>
      <c r="C11" s="217" t="s">
        <v>216</v>
      </c>
      <c r="D11" s="222">
        <v>40</v>
      </c>
      <c r="E11" s="222">
        <v>34</v>
      </c>
      <c r="F11" s="223">
        <v>1.1764705882352942</v>
      </c>
      <c r="G11" s="222">
        <v>4</v>
      </c>
      <c r="H11" s="224">
        <v>2</v>
      </c>
    </row>
    <row r="12" spans="2:8" s="216" customFormat="1" ht="24" customHeight="1">
      <c r="B12" s="240">
        <v>6</v>
      </c>
      <c r="C12" s="217" t="s">
        <v>25</v>
      </c>
      <c r="D12" s="222">
        <v>40</v>
      </c>
      <c r="E12" s="222">
        <v>35</v>
      </c>
      <c r="F12" s="223">
        <v>1.1428571428571428</v>
      </c>
      <c r="G12" s="222">
        <v>10</v>
      </c>
      <c r="H12" s="224">
        <v>2</v>
      </c>
    </row>
    <row r="13" spans="2:8" s="216" customFormat="1" ht="24" customHeight="1">
      <c r="B13" s="240">
        <v>7</v>
      </c>
      <c r="C13" s="217" t="s">
        <v>217</v>
      </c>
      <c r="D13" s="222">
        <v>40</v>
      </c>
      <c r="E13" s="222">
        <v>35</v>
      </c>
      <c r="F13" s="223">
        <v>1.1428571428571428</v>
      </c>
      <c r="G13" s="222">
        <v>6</v>
      </c>
      <c r="H13" s="224">
        <v>2</v>
      </c>
    </row>
    <row r="14" spans="2:8" s="216" customFormat="1" ht="24" customHeight="1">
      <c r="B14" s="240">
        <v>8</v>
      </c>
      <c r="C14" s="217" t="s">
        <v>253</v>
      </c>
      <c r="D14" s="222">
        <v>40</v>
      </c>
      <c r="E14" s="222">
        <v>36</v>
      </c>
      <c r="F14" s="223">
        <v>1.1111111111111112</v>
      </c>
      <c r="G14" s="222">
        <v>8</v>
      </c>
      <c r="H14" s="224">
        <v>2</v>
      </c>
    </row>
    <row r="15" spans="2:8" s="216" customFormat="1" ht="24" customHeight="1">
      <c r="B15" s="240">
        <v>9</v>
      </c>
      <c r="C15" s="217" t="s">
        <v>31</v>
      </c>
      <c r="D15" s="222">
        <v>40</v>
      </c>
      <c r="E15" s="222">
        <v>38</v>
      </c>
      <c r="F15" s="223">
        <v>1.0526315789473684</v>
      </c>
      <c r="G15" s="222">
        <v>8</v>
      </c>
      <c r="H15" s="224">
        <v>2</v>
      </c>
    </row>
    <row r="16" spans="2:8" s="216" customFormat="1" ht="24" customHeight="1">
      <c r="B16" s="240">
        <v>10</v>
      </c>
      <c r="C16" s="217" t="s">
        <v>222</v>
      </c>
      <c r="D16" s="222">
        <v>40</v>
      </c>
      <c r="E16" s="222">
        <v>39</v>
      </c>
      <c r="F16" s="223">
        <v>1.0256410256410255</v>
      </c>
      <c r="G16" s="222">
        <v>4</v>
      </c>
      <c r="H16" s="224">
        <v>2</v>
      </c>
    </row>
    <row r="17" spans="2:8" s="216" customFormat="1" ht="24" customHeight="1">
      <c r="B17" s="240">
        <v>11</v>
      </c>
      <c r="C17" s="217" t="s">
        <v>28</v>
      </c>
      <c r="D17" s="222">
        <v>40</v>
      </c>
      <c r="E17" s="222">
        <v>45</v>
      </c>
      <c r="F17" s="223">
        <v>0.8888888888888888</v>
      </c>
      <c r="G17" s="222">
        <v>6</v>
      </c>
      <c r="H17" s="224">
        <v>2</v>
      </c>
    </row>
    <row r="18" spans="2:8" s="216" customFormat="1" ht="24" customHeight="1">
      <c r="B18" s="240">
        <v>12</v>
      </c>
      <c r="C18" s="217" t="s">
        <v>220</v>
      </c>
      <c r="D18" s="222">
        <v>40</v>
      </c>
      <c r="E18" s="222">
        <v>47</v>
      </c>
      <c r="F18" s="223">
        <v>0.851063829787234</v>
      </c>
      <c r="G18" s="222">
        <v>3</v>
      </c>
      <c r="H18" s="224">
        <v>2</v>
      </c>
    </row>
    <row r="19" spans="2:8" s="216" customFormat="1" ht="24" customHeight="1">
      <c r="B19" s="240">
        <v>13</v>
      </c>
      <c r="C19" s="217" t="s">
        <v>219</v>
      </c>
      <c r="D19" s="222">
        <v>40</v>
      </c>
      <c r="E19" s="222">
        <v>50</v>
      </c>
      <c r="F19" s="223">
        <v>0.8</v>
      </c>
      <c r="G19" s="222">
        <v>6</v>
      </c>
      <c r="H19" s="224">
        <v>2</v>
      </c>
    </row>
    <row r="20" spans="2:8" s="216" customFormat="1" ht="24" customHeight="1">
      <c r="B20" s="240">
        <v>14</v>
      </c>
      <c r="C20" s="217" t="s">
        <v>33</v>
      </c>
      <c r="D20" s="222">
        <v>36</v>
      </c>
      <c r="E20" s="222">
        <v>50</v>
      </c>
      <c r="F20" s="223">
        <v>0.72</v>
      </c>
      <c r="G20" s="222">
        <v>4</v>
      </c>
      <c r="H20" s="224">
        <v>2</v>
      </c>
    </row>
    <row r="21" spans="2:8" s="216" customFormat="1" ht="24" customHeight="1">
      <c r="B21" s="240">
        <v>15</v>
      </c>
      <c r="C21" s="217" t="s">
        <v>225</v>
      </c>
      <c r="D21" s="222">
        <v>35</v>
      </c>
      <c r="E21" s="222">
        <v>50</v>
      </c>
      <c r="F21" s="223">
        <v>0.7</v>
      </c>
      <c r="G21" s="222">
        <v>5</v>
      </c>
      <c r="H21" s="224">
        <v>2</v>
      </c>
    </row>
    <row r="22" spans="2:8" s="216" customFormat="1" ht="24" customHeight="1">
      <c r="B22" s="241">
        <v>16</v>
      </c>
      <c r="C22" s="218" t="s">
        <v>37</v>
      </c>
      <c r="D22" s="225">
        <v>34</v>
      </c>
      <c r="E22" s="225">
        <v>50</v>
      </c>
      <c r="F22" s="226">
        <v>0.68</v>
      </c>
      <c r="G22" s="225">
        <v>3</v>
      </c>
      <c r="H22" s="227">
        <v>2</v>
      </c>
    </row>
    <row r="23" spans="2:8" s="389" customFormat="1" ht="21" customHeight="1">
      <c r="B23" s="259"/>
      <c r="C23" s="184"/>
      <c r="D23" s="185"/>
      <c r="E23" s="185"/>
      <c r="F23" s="186"/>
      <c r="G23" s="185"/>
      <c r="H23" s="185"/>
    </row>
    <row r="24" spans="2:8" s="389" customFormat="1" ht="21" customHeight="1">
      <c r="B24" s="259"/>
      <c r="C24" s="184"/>
      <c r="D24" s="185"/>
      <c r="E24" s="185"/>
      <c r="F24" s="186"/>
      <c r="G24" s="185"/>
      <c r="H24" s="185"/>
    </row>
    <row r="25" spans="2:8" s="389" customFormat="1" ht="21" customHeight="1">
      <c r="B25" s="259"/>
      <c r="C25" s="184"/>
      <c r="D25" s="185"/>
      <c r="E25" s="185"/>
      <c r="F25" s="186"/>
      <c r="G25" s="185"/>
      <c r="H25" s="185"/>
    </row>
    <row r="26" spans="2:8" s="389" customFormat="1" ht="21" customHeight="1">
      <c r="B26" s="259"/>
      <c r="C26" s="184"/>
      <c r="D26" s="185"/>
      <c r="E26" s="185"/>
      <c r="F26" s="186"/>
      <c r="G26" s="185"/>
      <c r="H26" s="185"/>
    </row>
    <row r="27" spans="2:8" s="389" customFormat="1" ht="21" customHeight="1">
      <c r="B27" s="259"/>
      <c r="C27" s="184"/>
      <c r="D27" s="185"/>
      <c r="E27" s="185"/>
      <c r="F27" s="186"/>
      <c r="G27" s="185"/>
      <c r="H27" s="185"/>
    </row>
    <row r="28" spans="2:8" s="389" customFormat="1" ht="21" customHeight="1">
      <c r="B28" s="259"/>
      <c r="C28" s="184"/>
      <c r="D28" s="185"/>
      <c r="E28" s="185"/>
      <c r="F28" s="186"/>
      <c r="G28" s="185"/>
      <c r="H28" s="185"/>
    </row>
    <row r="29" spans="2:8" s="389" customFormat="1" ht="21" customHeight="1">
      <c r="B29" s="259"/>
      <c r="C29" s="184"/>
      <c r="D29" s="185"/>
      <c r="E29" s="185"/>
      <c r="F29" s="186"/>
      <c r="G29" s="185"/>
      <c r="H29" s="185"/>
    </row>
    <row r="30" spans="2:8" s="389" customFormat="1" ht="21" customHeight="1">
      <c r="B30" s="259"/>
      <c r="C30" s="184"/>
      <c r="D30" s="185"/>
      <c r="E30" s="185"/>
      <c r="F30" s="186"/>
      <c r="G30" s="185"/>
      <c r="H30" s="185"/>
    </row>
    <row r="31" spans="2:8" s="389" customFormat="1" ht="21" customHeight="1">
      <c r="B31" s="259"/>
      <c r="C31" s="184"/>
      <c r="D31" s="185"/>
      <c r="E31" s="185"/>
      <c r="F31" s="186"/>
      <c r="G31" s="185"/>
      <c r="H31" s="185"/>
    </row>
    <row r="32" spans="2:8" s="389" customFormat="1" ht="21" customHeight="1">
      <c r="B32" s="259"/>
      <c r="C32" s="184"/>
      <c r="D32" s="185"/>
      <c r="E32" s="185"/>
      <c r="F32" s="186"/>
      <c r="G32" s="185"/>
      <c r="H32" s="185"/>
    </row>
    <row r="33" spans="2:8" s="389" customFormat="1" ht="21" customHeight="1">
      <c r="B33" s="259"/>
      <c r="C33" s="184"/>
      <c r="D33" s="185"/>
      <c r="E33" s="185"/>
      <c r="F33" s="186"/>
      <c r="G33" s="185"/>
      <c r="H33" s="185"/>
    </row>
    <row r="34" spans="2:8" s="389" customFormat="1" ht="21" customHeight="1">
      <c r="B34" s="259"/>
      <c r="C34" s="184"/>
      <c r="D34" s="185"/>
      <c r="E34" s="185"/>
      <c r="F34" s="186"/>
      <c r="G34" s="185"/>
      <c r="H34" s="185"/>
    </row>
    <row r="35" spans="2:8" s="389" customFormat="1" ht="21" customHeight="1">
      <c r="B35" s="259"/>
      <c r="C35" s="184"/>
      <c r="D35" s="185"/>
      <c r="E35" s="185"/>
      <c r="F35" s="186"/>
      <c r="G35" s="185"/>
      <c r="H35" s="185"/>
    </row>
    <row r="36" spans="2:8" s="389" customFormat="1" ht="21" customHeight="1">
      <c r="B36" s="259"/>
      <c r="C36" s="184"/>
      <c r="D36" s="185"/>
      <c r="E36" s="185"/>
      <c r="F36" s="186"/>
      <c r="G36" s="185"/>
      <c r="H36" s="185"/>
    </row>
    <row r="37" spans="2:8" s="389" customFormat="1" ht="21" customHeight="1">
      <c r="B37" s="259"/>
      <c r="C37" s="184"/>
      <c r="D37" s="185"/>
      <c r="E37" s="185"/>
      <c r="F37" s="186"/>
      <c r="G37" s="185"/>
      <c r="H37" s="185"/>
    </row>
    <row r="38" spans="2:8" s="389" customFormat="1" ht="21" customHeight="1">
      <c r="B38" s="259"/>
      <c r="C38" s="184"/>
      <c r="D38" s="185"/>
      <c r="E38" s="185"/>
      <c r="F38" s="186"/>
      <c r="G38" s="185"/>
      <c r="H38" s="185"/>
    </row>
    <row r="39" spans="2:8" s="389" customFormat="1" ht="21" customHeight="1">
      <c r="B39" s="259"/>
      <c r="C39" s="184"/>
      <c r="D39" s="185"/>
      <c r="E39" s="185"/>
      <c r="F39" s="186"/>
      <c r="G39" s="185"/>
      <c r="H39" s="185"/>
    </row>
    <row r="40" spans="2:8" s="389" customFormat="1" ht="21" customHeight="1">
      <c r="B40" s="259"/>
      <c r="C40" s="184"/>
      <c r="D40" s="185"/>
      <c r="E40" s="185"/>
      <c r="F40" s="186"/>
      <c r="G40" s="185"/>
      <c r="H40" s="185"/>
    </row>
    <row r="41" spans="2:8" s="389" customFormat="1" ht="21" customHeight="1">
      <c r="B41" s="259"/>
      <c r="C41" s="184"/>
      <c r="D41" s="185"/>
      <c r="E41" s="185"/>
      <c r="F41" s="186"/>
      <c r="G41" s="185"/>
      <c r="H41" s="185"/>
    </row>
    <row r="42" spans="2:8" s="389" customFormat="1" ht="21" customHeight="1">
      <c r="B42" s="259"/>
      <c r="C42" s="184"/>
      <c r="D42" s="185"/>
      <c r="E42" s="185"/>
      <c r="F42" s="186"/>
      <c r="G42" s="185"/>
      <c r="H42" s="185"/>
    </row>
    <row r="43" spans="2:8" s="389" customFormat="1" ht="21" customHeight="1">
      <c r="B43" s="259"/>
      <c r="C43" s="184"/>
      <c r="D43" s="185"/>
      <c r="E43" s="185"/>
      <c r="F43" s="186"/>
      <c r="G43" s="185"/>
      <c r="H43" s="185"/>
    </row>
    <row r="44" spans="2:8" s="389" customFormat="1" ht="21" customHeight="1">
      <c r="B44" s="259"/>
      <c r="C44" s="184"/>
      <c r="D44" s="185"/>
      <c r="E44" s="185"/>
      <c r="F44" s="186"/>
      <c r="G44" s="185"/>
      <c r="H44" s="185"/>
    </row>
    <row r="45" spans="2:8" s="389" customFormat="1" ht="21" customHeight="1">
      <c r="B45" s="259"/>
      <c r="C45" s="184"/>
      <c r="D45" s="185"/>
      <c r="E45" s="185"/>
      <c r="F45" s="186"/>
      <c r="G45" s="185"/>
      <c r="H45" s="185"/>
    </row>
    <row r="46" spans="2:8" s="389" customFormat="1" ht="21" customHeight="1">
      <c r="B46" s="259"/>
      <c r="C46" s="184"/>
      <c r="D46" s="185"/>
      <c r="E46" s="185"/>
      <c r="F46" s="186"/>
      <c r="G46" s="185"/>
      <c r="H46" s="185"/>
    </row>
    <row r="47" spans="2:8" s="389" customFormat="1" ht="21" customHeight="1">
      <c r="B47" s="259"/>
      <c r="C47" s="184"/>
      <c r="D47" s="185"/>
      <c r="E47" s="185"/>
      <c r="F47" s="186"/>
      <c r="G47" s="185"/>
      <c r="H47" s="185"/>
    </row>
    <row r="48" spans="2:8" s="389" customFormat="1" ht="21" customHeight="1">
      <c r="B48" s="259"/>
      <c r="C48" s="184"/>
      <c r="D48" s="185"/>
      <c r="E48" s="185"/>
      <c r="F48" s="186"/>
      <c r="G48" s="185"/>
      <c r="H48" s="185"/>
    </row>
    <row r="49" spans="2:8" s="389" customFormat="1" ht="21" customHeight="1">
      <c r="B49" s="259"/>
      <c r="C49" s="184"/>
      <c r="D49" s="185"/>
      <c r="E49" s="185"/>
      <c r="F49" s="186"/>
      <c r="G49" s="185"/>
      <c r="H49" s="185"/>
    </row>
    <row r="50" spans="2:8" s="389" customFormat="1" ht="21" customHeight="1">
      <c r="B50" s="259"/>
      <c r="C50" s="184"/>
      <c r="D50" s="185"/>
      <c r="E50" s="185"/>
      <c r="F50" s="186"/>
      <c r="G50" s="185"/>
      <c r="H50" s="185"/>
    </row>
    <row r="51" spans="2:8" s="389" customFormat="1" ht="21" customHeight="1">
      <c r="B51" s="259"/>
      <c r="C51" s="184"/>
      <c r="D51" s="185"/>
      <c r="E51" s="185"/>
      <c r="F51" s="186"/>
      <c r="G51" s="185"/>
      <c r="H51" s="185"/>
    </row>
    <row r="52" spans="2:8" s="389" customFormat="1" ht="21" customHeight="1">
      <c r="B52" s="259"/>
      <c r="C52" s="184"/>
      <c r="D52" s="185"/>
      <c r="E52" s="185"/>
      <c r="F52" s="186"/>
      <c r="G52" s="185"/>
      <c r="H52" s="185"/>
    </row>
    <row r="53" spans="2:8" s="389" customFormat="1" ht="21" customHeight="1">
      <c r="B53" s="259"/>
      <c r="C53" s="184"/>
      <c r="D53" s="185"/>
      <c r="E53" s="185"/>
      <c r="F53" s="186"/>
      <c r="G53" s="185"/>
      <c r="H53" s="185"/>
    </row>
    <row r="54" spans="2:8" s="389" customFormat="1" ht="21" customHeight="1">
      <c r="B54" s="259"/>
      <c r="C54" s="184"/>
      <c r="D54" s="185"/>
      <c r="E54" s="185"/>
      <c r="F54" s="186"/>
      <c r="G54" s="185"/>
      <c r="H54" s="185"/>
    </row>
    <row r="55" spans="2:8" s="389" customFormat="1" ht="21" customHeight="1">
      <c r="B55" s="259"/>
      <c r="C55" s="184"/>
      <c r="D55" s="185"/>
      <c r="E55" s="185"/>
      <c r="F55" s="186"/>
      <c r="G55" s="185"/>
      <c r="H55" s="185"/>
    </row>
    <row r="56" spans="2:8" s="389" customFormat="1" ht="21" customHeight="1">
      <c r="B56" s="259"/>
      <c r="C56" s="184"/>
      <c r="D56" s="185"/>
      <c r="E56" s="185"/>
      <c r="F56" s="186"/>
      <c r="G56" s="185"/>
      <c r="H56" s="185"/>
    </row>
    <row r="57" spans="2:8" s="389" customFormat="1" ht="21" customHeight="1">
      <c r="B57" s="259"/>
      <c r="C57" s="184"/>
      <c r="D57" s="185"/>
      <c r="E57" s="185"/>
      <c r="F57" s="186"/>
      <c r="G57" s="185"/>
      <c r="H57" s="185"/>
    </row>
    <row r="58" spans="2:8" s="389" customFormat="1" ht="21" customHeight="1">
      <c r="B58" s="259"/>
      <c r="C58" s="184"/>
      <c r="D58" s="185"/>
      <c r="E58" s="185"/>
      <c r="F58" s="186"/>
      <c r="G58" s="185"/>
      <c r="H58" s="185"/>
    </row>
    <row r="59" spans="2:8" s="389" customFormat="1" ht="21" customHeight="1">
      <c r="B59" s="259"/>
      <c r="C59" s="184"/>
      <c r="D59" s="185"/>
      <c r="E59" s="185"/>
      <c r="F59" s="186"/>
      <c r="G59" s="185"/>
      <c r="H59" s="185"/>
    </row>
    <row r="60" spans="2:8" s="389" customFormat="1" ht="21" customHeight="1">
      <c r="B60" s="259"/>
      <c r="C60" s="184"/>
      <c r="D60" s="185"/>
      <c r="E60" s="185"/>
      <c r="F60" s="186"/>
      <c r="G60" s="185"/>
      <c r="H60" s="185"/>
    </row>
    <row r="61" spans="2:8" s="389" customFormat="1" ht="21" customHeight="1">
      <c r="B61" s="259"/>
      <c r="C61" s="184"/>
      <c r="D61" s="185"/>
      <c r="E61" s="185"/>
      <c r="F61" s="186"/>
      <c r="G61" s="185"/>
      <c r="H61" s="185"/>
    </row>
    <row r="62" spans="2:8" s="389" customFormat="1" ht="21" customHeight="1">
      <c r="B62" s="259"/>
      <c r="C62" s="184"/>
      <c r="D62" s="185"/>
      <c r="E62" s="185"/>
      <c r="F62" s="186"/>
      <c r="G62" s="185"/>
      <c r="H62" s="185"/>
    </row>
    <row r="63" spans="2:8" s="389" customFormat="1" ht="21" customHeight="1">
      <c r="B63" s="259"/>
      <c r="C63" s="184"/>
      <c r="D63" s="185"/>
      <c r="E63" s="185"/>
      <c r="F63" s="186"/>
      <c r="G63" s="185"/>
      <c r="H63" s="185"/>
    </row>
    <row r="64" spans="2:8" s="389" customFormat="1" ht="21" customHeight="1">
      <c r="B64" s="259"/>
      <c r="C64" s="184"/>
      <c r="D64" s="185"/>
      <c r="E64" s="185"/>
      <c r="F64" s="186"/>
      <c r="G64" s="185"/>
      <c r="H64" s="185"/>
    </row>
    <row r="65" spans="2:8" s="389" customFormat="1" ht="21" customHeight="1">
      <c r="B65" s="259"/>
      <c r="C65" s="184"/>
      <c r="D65" s="185"/>
      <c r="E65" s="185"/>
      <c r="F65" s="186"/>
      <c r="G65" s="185"/>
      <c r="H65" s="185"/>
    </row>
    <row r="66" spans="2:8" s="389" customFormat="1" ht="21" customHeight="1">
      <c r="B66" s="259"/>
      <c r="C66" s="184"/>
      <c r="D66" s="185"/>
      <c r="E66" s="185"/>
      <c r="F66" s="186"/>
      <c r="G66" s="185"/>
      <c r="H66" s="185"/>
    </row>
    <row r="67" spans="2:8" s="389" customFormat="1" ht="21" customHeight="1">
      <c r="B67" s="259"/>
      <c r="C67" s="184"/>
      <c r="D67" s="185"/>
      <c r="E67" s="185"/>
      <c r="F67" s="186"/>
      <c r="G67" s="185"/>
      <c r="H67" s="185"/>
    </row>
    <row r="68" spans="2:8" s="389" customFormat="1" ht="21" customHeight="1">
      <c r="B68" s="259"/>
      <c r="C68" s="184"/>
      <c r="D68" s="185"/>
      <c r="E68" s="185"/>
      <c r="F68" s="186"/>
      <c r="G68" s="185"/>
      <c r="H68" s="185"/>
    </row>
    <row r="69" spans="2:8" s="389" customFormat="1" ht="21" customHeight="1">
      <c r="B69" s="259"/>
      <c r="C69" s="184"/>
      <c r="D69" s="185"/>
      <c r="E69" s="185"/>
      <c r="F69" s="186"/>
      <c r="G69" s="185"/>
      <c r="H69" s="185"/>
    </row>
    <row r="70" spans="2:8" s="389" customFormat="1" ht="21" customHeight="1">
      <c r="B70" s="259"/>
      <c r="C70" s="184"/>
      <c r="D70" s="185"/>
      <c r="E70" s="185"/>
      <c r="F70" s="186"/>
      <c r="G70" s="185"/>
      <c r="H70" s="185"/>
    </row>
    <row r="71" s="389" customFormat="1" ht="12">
      <c r="B71" s="388"/>
    </row>
    <row r="72" s="389" customFormat="1" ht="12">
      <c r="B72" s="388"/>
    </row>
    <row r="73" s="389" customFormat="1" ht="12">
      <c r="B73" s="388"/>
    </row>
    <row r="74" s="389" customFormat="1" ht="12">
      <c r="B74" s="388"/>
    </row>
    <row r="75" s="389" customFormat="1" ht="12">
      <c r="B75" s="388"/>
    </row>
    <row r="76" s="389" customFormat="1" ht="12">
      <c r="B76" s="388"/>
    </row>
    <row r="77" s="389" customFormat="1" ht="12">
      <c r="B77" s="388"/>
    </row>
    <row r="78" s="389" customFormat="1" ht="12">
      <c r="B78" s="388"/>
    </row>
    <row r="79" s="389" customFormat="1" ht="12">
      <c r="B79" s="388"/>
    </row>
    <row r="80" s="389" customFormat="1" ht="12">
      <c r="B80" s="388"/>
    </row>
    <row r="81" s="389" customFormat="1" ht="12">
      <c r="B81" s="388"/>
    </row>
    <row r="82" s="389" customFormat="1" ht="12">
      <c r="B82" s="388"/>
    </row>
    <row r="83" s="389" customFormat="1" ht="12">
      <c r="B83" s="388"/>
    </row>
    <row r="84" s="389" customFormat="1" ht="12">
      <c r="B84" s="388"/>
    </row>
    <row r="85" s="389" customFormat="1" ht="12">
      <c r="B85" s="388"/>
    </row>
  </sheetData>
  <sheetProtection/>
  <mergeCells count="2">
    <mergeCell ref="B2:H2"/>
    <mergeCell ref="B4:H4"/>
  </mergeCells>
  <printOptions/>
  <pageMargins left="0.5905511811023623" right="0.1968503937007874" top="0.1968503937007874" bottom="0" header="0" footer="0"/>
  <pageSetup orientation="portrait" paperSize="9"/>
  <rowBreaks count="1" manualBreakCount="1">
    <brk id="38" max="255" man="1"/>
  </rowBreaks>
  <colBreaks count="1" manualBreakCount="1">
    <brk id="8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V34"/>
  <sheetViews>
    <sheetView showGridLines="0" workbookViewId="0" topLeftCell="A1">
      <selection activeCell="A1" sqref="A1"/>
    </sheetView>
  </sheetViews>
  <sheetFormatPr defaultColWidth="11.57421875" defaultRowHeight="12.75"/>
  <cols>
    <col min="1" max="1" width="3.00390625" style="89" customWidth="1"/>
    <col min="2" max="2" width="2.7109375" style="179" customWidth="1"/>
    <col min="3" max="3" width="5.140625" style="89" customWidth="1"/>
    <col min="4" max="4" width="8.421875" style="89" customWidth="1"/>
    <col min="5" max="5" width="5.140625" style="89" customWidth="1"/>
    <col min="6" max="6" width="37.140625" style="89" customWidth="1"/>
    <col min="7" max="7" width="7.140625" style="89" customWidth="1"/>
    <col min="8" max="8" width="6.8515625" style="89" customWidth="1"/>
    <col min="9" max="9" width="8.00390625" style="89" customWidth="1"/>
    <col min="10" max="13" width="7.140625" style="89" customWidth="1"/>
    <col min="14" max="14" width="11.7109375" style="89" hidden="1" customWidth="1"/>
    <col min="15" max="15" width="7.421875" style="179" hidden="1" customWidth="1"/>
    <col min="16" max="16" width="24.8515625" style="137" hidden="1" customWidth="1"/>
    <col min="17" max="17" width="7.140625" style="135" hidden="1" customWidth="1"/>
    <col min="18" max="22" width="5.140625" style="133" hidden="1" customWidth="1"/>
    <col min="23" max="23" width="1.7109375" style="136" hidden="1" customWidth="1"/>
    <col min="24" max="24" width="22.00390625" style="135" hidden="1" customWidth="1"/>
    <col min="25" max="25" width="7.140625" style="133" hidden="1" customWidth="1"/>
    <col min="26" max="29" width="5.140625" style="133" hidden="1" customWidth="1"/>
    <col min="30" max="30" width="1.7109375" style="132" hidden="1" customWidth="1"/>
    <col min="31" max="31" width="2.8515625" style="143" hidden="1" customWidth="1"/>
    <col min="32" max="32" width="2.8515625" style="141" hidden="1" customWidth="1"/>
    <col min="33" max="33" width="28.421875" style="89" hidden="1" customWidth="1"/>
    <col min="34" max="34" width="3.00390625" style="89" hidden="1" customWidth="1"/>
    <col min="35" max="35" width="5.7109375" style="89" hidden="1" customWidth="1"/>
    <col min="36" max="36" width="6.140625" style="89" hidden="1" customWidth="1"/>
    <col min="37" max="38" width="5.7109375" style="89" hidden="1" customWidth="1"/>
    <col min="39" max="39" width="1.7109375" style="132" hidden="1" customWidth="1"/>
    <col min="40" max="40" width="3.8515625" style="143" hidden="1" customWidth="1"/>
    <col min="41" max="41" width="2.8515625" style="141" hidden="1" customWidth="1"/>
    <col min="42" max="42" width="28.421875" style="89" hidden="1" customWidth="1"/>
    <col min="43" max="43" width="3.00390625" style="89" hidden="1" customWidth="1"/>
    <col min="44" max="44" width="5.7109375" style="89" hidden="1" customWidth="1"/>
    <col min="45" max="45" width="6.140625" style="89" hidden="1" customWidth="1"/>
    <col min="46" max="47" width="5.7109375" style="89" hidden="1" customWidth="1"/>
    <col min="48" max="48" width="1.7109375" style="136" hidden="1" customWidth="1"/>
    <col min="49" max="49" width="3.7109375" style="89" hidden="1" customWidth="1"/>
    <col min="50" max="50" width="22.00390625" style="89" customWidth="1"/>
    <col min="51" max="16384" width="11.421875" style="89" customWidth="1"/>
  </cols>
  <sheetData>
    <row r="1" spans="2:48" s="142" customFormat="1" ht="9.75" customHeight="1">
      <c r="B1" s="181"/>
      <c r="O1" s="181"/>
      <c r="P1" s="242"/>
      <c r="Q1" s="183"/>
      <c r="R1" s="183"/>
      <c r="S1" s="183"/>
      <c r="T1" s="183"/>
      <c r="U1" s="183"/>
      <c r="V1" s="183"/>
      <c r="W1" s="183"/>
      <c r="X1" s="182"/>
      <c r="Y1" s="183"/>
      <c r="Z1" s="183"/>
      <c r="AA1" s="183"/>
      <c r="AB1" s="183"/>
      <c r="AC1" s="183"/>
      <c r="AD1" s="141"/>
      <c r="AE1" s="141"/>
      <c r="AF1" s="141"/>
      <c r="AM1" s="141"/>
      <c r="AN1" s="141"/>
      <c r="AO1" s="141"/>
      <c r="AV1" s="183"/>
    </row>
    <row r="2" spans="3:42" ht="23.25">
      <c r="C2" s="641" t="s">
        <v>173</v>
      </c>
      <c r="D2" s="641"/>
      <c r="E2" s="641"/>
      <c r="F2" s="641"/>
      <c r="G2" s="641"/>
      <c r="H2" s="641"/>
      <c r="I2" s="641"/>
      <c r="J2" s="641"/>
      <c r="K2" s="641"/>
      <c r="L2" s="641"/>
      <c r="M2" s="202"/>
      <c r="N2" s="202"/>
      <c r="AG2" s="145" t="s">
        <v>277</v>
      </c>
      <c r="AP2" s="145" t="s">
        <v>278</v>
      </c>
    </row>
    <row r="3" spans="3:46" ht="27.75" customHeight="1">
      <c r="C3" s="656" t="s">
        <v>316</v>
      </c>
      <c r="D3" s="642"/>
      <c r="E3" s="642"/>
      <c r="F3" s="642"/>
      <c r="G3" s="649"/>
      <c r="H3" s="649"/>
      <c r="I3" s="649"/>
      <c r="J3" s="649"/>
      <c r="K3" s="649"/>
      <c r="L3" s="649"/>
      <c r="M3" s="203"/>
      <c r="N3" s="203"/>
      <c r="AG3" s="177" t="s">
        <v>281</v>
      </c>
      <c r="AI3" s="165" t="s">
        <v>323</v>
      </c>
      <c r="AJ3" s="166" t="s">
        <v>324</v>
      </c>
      <c r="AK3" s="167" t="s">
        <v>325</v>
      </c>
      <c r="AP3" s="177" t="s">
        <v>282</v>
      </c>
      <c r="AR3" s="165" t="s">
        <v>320</v>
      </c>
      <c r="AS3" s="166" t="s">
        <v>321</v>
      </c>
      <c r="AT3" s="167" t="s">
        <v>322</v>
      </c>
    </row>
    <row r="4" spans="3:48" ht="9" customHeight="1"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Q4" s="133" t="s">
        <v>274</v>
      </c>
      <c r="W4" s="134"/>
      <c r="X4" s="133" t="s">
        <v>275</v>
      </c>
      <c r="AD4" s="131"/>
      <c r="AE4" s="141"/>
      <c r="AM4" s="131"/>
      <c r="AN4" s="141"/>
      <c r="AV4" s="134"/>
    </row>
    <row r="5" ht="9" customHeight="1"/>
    <row r="6" spans="5:33" ht="12.75" thickBot="1">
      <c r="E6" s="89" t="s">
        <v>268</v>
      </c>
      <c r="F6" s="89" t="s">
        <v>262</v>
      </c>
      <c r="G6" s="89" t="s">
        <v>263</v>
      </c>
      <c r="H6" s="89" t="s">
        <v>264</v>
      </c>
      <c r="I6" s="89" t="s">
        <v>309</v>
      </c>
      <c r="J6" s="89" t="s">
        <v>266</v>
      </c>
      <c r="K6" s="89" t="s">
        <v>301</v>
      </c>
      <c r="L6" s="89" t="s">
        <v>271</v>
      </c>
      <c r="O6" s="109" t="s">
        <v>270</v>
      </c>
      <c r="P6" s="137" t="s">
        <v>274</v>
      </c>
      <c r="Q6" s="133" t="s">
        <v>263</v>
      </c>
      <c r="R6" s="133" t="s">
        <v>264</v>
      </c>
      <c r="S6" s="133" t="s">
        <v>265</v>
      </c>
      <c r="T6" s="133" t="s">
        <v>266</v>
      </c>
      <c r="U6" s="133" t="s">
        <v>267</v>
      </c>
      <c r="X6" s="137"/>
      <c r="Y6" s="133" t="s">
        <v>263</v>
      </c>
      <c r="Z6" s="133" t="s">
        <v>264</v>
      </c>
      <c r="AA6" s="133" t="s">
        <v>265</v>
      </c>
      <c r="AB6" s="133" t="s">
        <v>266</v>
      </c>
      <c r="AC6" s="133" t="s">
        <v>267</v>
      </c>
      <c r="AG6" s="89" t="s">
        <v>304</v>
      </c>
    </row>
    <row r="7" spans="2:47" ht="21" customHeight="1" thickTop="1">
      <c r="B7" s="256">
        <f aca="true" t="shared" si="0" ref="B7:B14">O7</f>
        <v>1</v>
      </c>
      <c r="C7" s="657" t="s">
        <v>311</v>
      </c>
      <c r="D7" s="204">
        <v>0.75</v>
      </c>
      <c r="E7" s="91">
        <v>5</v>
      </c>
      <c r="F7" s="207" t="str">
        <f>VLOOKUP(E7,'Clasificación 16'!$B$7:$C$22,2,0)</f>
        <v>ARMANDO MORENO CORTÉS</v>
      </c>
      <c r="G7" s="209">
        <v>40</v>
      </c>
      <c r="H7" s="652">
        <v>39</v>
      </c>
      <c r="I7" s="233">
        <f>IF(H7="","",G7/H7)</f>
        <v>1.0256410256410255</v>
      </c>
      <c r="J7" s="209">
        <v>6</v>
      </c>
      <c r="K7" s="210">
        <f>IF(H7="","",IF(G7&lt;G8,0,IF(G7&gt;G8,2,1)))</f>
        <v>2</v>
      </c>
      <c r="L7" s="200" t="str">
        <f aca="true" t="shared" si="1" ref="L7:L14">IF(ISERROR(I7),"",O7&amp;"º")</f>
        <v>1º</v>
      </c>
      <c r="M7" s="237"/>
      <c r="N7" s="112">
        <f aca="true" t="shared" si="2" ref="N7:N14">IF(ISERROR(I7),"",SUM(K7,I7/1000,J7/1000000))</f>
        <v>2.001031641025641</v>
      </c>
      <c r="O7" s="236">
        <f>IF(ISERROR(I7),"",RANK(N7,N7:N8))</f>
        <v>1</v>
      </c>
      <c r="P7" s="373" t="str">
        <f>IF(O7=1,VLOOKUP(1,B7:K8,5,0),"")</f>
        <v>ARMANDO MORENO CORTÉS</v>
      </c>
      <c r="Q7" s="355">
        <f>IF(O7=1,VLOOKUP(1,B7:K8,6,0),"")</f>
        <v>40</v>
      </c>
      <c r="R7" s="355">
        <f>IF(O7=1,H7,"")</f>
        <v>39</v>
      </c>
      <c r="S7" s="356">
        <f>IF(O7=1,VLOOKUP(1,B7:K8,8,0),"")</f>
        <v>1.0256410256410255</v>
      </c>
      <c r="T7" s="355">
        <f>IF(O7=1,VLOOKUP(1,B7:K8,9,0),"")</f>
        <v>6</v>
      </c>
      <c r="U7" s="357">
        <f>IF(O7=1,VLOOKUP(1,B7:K8,10,0),"")</f>
        <v>2</v>
      </c>
      <c r="X7" s="354">
        <f>IF(O7=2,VLOOKUP(2,B7:K8,5,0),"")</f>
      </c>
      <c r="Y7" s="355">
        <f>IF(O7=2,VLOOKUP(2,B7:K8,6,0),"")</f>
      </c>
      <c r="Z7" s="355">
        <f>IF(O7=2,H7,"")</f>
      </c>
      <c r="AA7" s="356">
        <f>IF(O7=2,VLOOKUP(2,B7:K8,8,0),"")</f>
      </c>
      <c r="AB7" s="355">
        <f>IF(O7=2,VLOOKUP(2,B7:K8,9,0),"")</f>
      </c>
      <c r="AC7" s="357">
        <f>IF(O7=2,VLOOKUP(2,B7:K8,10,0),"")</f>
      </c>
      <c r="AG7" s="324" t="s">
        <v>319</v>
      </c>
      <c r="AH7" s="321" t="s">
        <v>319</v>
      </c>
      <c r="AI7" s="321" t="s">
        <v>319</v>
      </c>
      <c r="AJ7" s="321" t="s">
        <v>319</v>
      </c>
      <c r="AK7" s="321" t="s">
        <v>319</v>
      </c>
      <c r="AL7" s="322" t="s">
        <v>319</v>
      </c>
      <c r="AP7" s="324" t="s">
        <v>319</v>
      </c>
      <c r="AQ7" s="321" t="s">
        <v>319</v>
      </c>
      <c r="AR7" s="321" t="s">
        <v>319</v>
      </c>
      <c r="AS7" s="321" t="s">
        <v>319</v>
      </c>
      <c r="AT7" s="321" t="s">
        <v>319</v>
      </c>
      <c r="AU7" s="322" t="s">
        <v>319</v>
      </c>
    </row>
    <row r="8" spans="2:47" ht="21" customHeight="1" thickBot="1">
      <c r="B8" s="256">
        <f t="shared" si="0"/>
        <v>2</v>
      </c>
      <c r="C8" s="657"/>
      <c r="D8" s="205" t="s">
        <v>310</v>
      </c>
      <c r="E8" s="102">
        <v>12</v>
      </c>
      <c r="F8" s="208" t="str">
        <f>VLOOKUP(E8,'Clasificación 16'!$B$7:$C$22,2,0)</f>
        <v>RAFAEL GASCÓN REYES</v>
      </c>
      <c r="G8" s="211">
        <v>28</v>
      </c>
      <c r="H8" s="653"/>
      <c r="I8" s="234">
        <f>IF(H7="","",G8/H7)</f>
        <v>0.717948717948718</v>
      </c>
      <c r="J8" s="211">
        <v>7</v>
      </c>
      <c r="K8" s="212">
        <f>IF(H7="","",IF(G8&lt;G7,0,IF(G8&gt;G7,2,1)))</f>
        <v>0</v>
      </c>
      <c r="L8" s="201" t="str">
        <f t="shared" si="1"/>
        <v>2º</v>
      </c>
      <c r="M8" s="237"/>
      <c r="N8" s="112">
        <f t="shared" si="2"/>
        <v>0.0007249487179487179</v>
      </c>
      <c r="O8" s="236">
        <f>IF(ISERROR(I8),"",RANK(N8,N7:N8))</f>
        <v>2</v>
      </c>
      <c r="P8" s="360">
        <f>IF(O8=1,VLOOKUP(1,B7:K8,5,0),"")</f>
      </c>
      <c r="Q8" s="268">
        <f>IF(O8=1,VLOOKUP(1,B7:K8,6,0),"")</f>
      </c>
      <c r="R8" s="268">
        <f>IF(O8=1,H7,"")</f>
      </c>
      <c r="S8" s="269">
        <f>IF(O8=1,VLOOKUP(1,B7:K8,8,0),"")</f>
      </c>
      <c r="T8" s="268">
        <f>IF(O8=1,VLOOKUP(1,B7:K8,9,0),"")</f>
      </c>
      <c r="U8" s="359">
        <f>IF(O8=1,VLOOKUP(1,B7:K8,10,0),"")</f>
      </c>
      <c r="X8" s="360" t="str">
        <f>IF(O8=2,VLOOKUP(2,B7:K8,5,0),"")</f>
        <v>RAFAEL GASCÓN REYES</v>
      </c>
      <c r="Y8" s="268">
        <f>IF(O8=2,VLOOKUP(2,B7:K8,6,0),"")</f>
        <v>28</v>
      </c>
      <c r="Z8" s="268">
        <f>IF(O8=2,H7,"")</f>
        <v>39</v>
      </c>
      <c r="AA8" s="269">
        <f>IF(O8=2,VLOOKUP(2,B7:K8,8,0),"")</f>
        <v>0.717948717948718</v>
      </c>
      <c r="AB8" s="268">
        <f>IF(O8=2,VLOOKUP(2,B7:K8,9,0),"")</f>
        <v>7</v>
      </c>
      <c r="AC8" s="359">
        <f>IF(O8=2,VLOOKUP(2,B7:K8,10,0),"")</f>
        <v>0</v>
      </c>
      <c r="AG8" s="325" t="s">
        <v>319</v>
      </c>
      <c r="AH8" s="96" t="s">
        <v>319</v>
      </c>
      <c r="AI8" s="96" t="s">
        <v>319</v>
      </c>
      <c r="AJ8" s="96" t="s">
        <v>319</v>
      </c>
      <c r="AK8" s="96" t="s">
        <v>319</v>
      </c>
      <c r="AL8" s="323" t="s">
        <v>319</v>
      </c>
      <c r="AP8" s="325" t="s">
        <v>319</v>
      </c>
      <c r="AQ8" s="96" t="s">
        <v>319</v>
      </c>
      <c r="AR8" s="96" t="s">
        <v>319</v>
      </c>
      <c r="AS8" s="96" t="s">
        <v>319</v>
      </c>
      <c r="AT8" s="96" t="s">
        <v>319</v>
      </c>
      <c r="AU8" s="323" t="s">
        <v>319</v>
      </c>
    </row>
    <row r="9" spans="2:47" ht="21" customHeight="1" thickTop="1">
      <c r="B9" s="256">
        <f t="shared" si="0"/>
        <v>1</v>
      </c>
      <c r="C9" s="657"/>
      <c r="D9" s="204">
        <v>0.75</v>
      </c>
      <c r="E9" s="104">
        <v>6</v>
      </c>
      <c r="F9" s="207" t="str">
        <f>VLOOKUP(E9,'Clasificación 16'!$B$7:$C$22,2,0)</f>
        <v>ESTEVE MATA PARDO</v>
      </c>
      <c r="G9" s="209">
        <v>40</v>
      </c>
      <c r="H9" s="652">
        <v>19</v>
      </c>
      <c r="I9" s="233">
        <f>IF(H9="","",G9/H9)</f>
        <v>2.1052631578947367</v>
      </c>
      <c r="J9" s="209">
        <v>12</v>
      </c>
      <c r="K9" s="210">
        <f>IF(H9="","",IF(G9&lt;G10,0,IF(G9&gt;G10,2,1)))</f>
        <v>2</v>
      </c>
      <c r="L9" s="200" t="str">
        <f t="shared" si="1"/>
        <v>1º</v>
      </c>
      <c r="M9" s="237"/>
      <c r="N9" s="112">
        <f t="shared" si="2"/>
        <v>2.0021172631578947</v>
      </c>
      <c r="O9" s="236">
        <f>IF(ISERROR(I9),"",RANK(N9,N9:N10))</f>
        <v>1</v>
      </c>
      <c r="P9" s="360" t="str">
        <f>IF(O9=1,VLOOKUP(1,B9:K10,5,0),"")</f>
        <v>ESTEVE MATA PARDO</v>
      </c>
      <c r="Q9" s="268">
        <f>IF(O9=1,VLOOKUP(1,B9:K10,6,0),"")</f>
        <v>40</v>
      </c>
      <c r="R9" s="268">
        <f>IF(O9=1,H9,"")</f>
        <v>19</v>
      </c>
      <c r="S9" s="269">
        <f>IF(O9=1,VLOOKUP(1,B9:K10,8,0),"")</f>
        <v>2.1052631578947367</v>
      </c>
      <c r="T9" s="268">
        <f>IF(O9=1,VLOOKUP(1,B9:K10,9,0),"")</f>
        <v>12</v>
      </c>
      <c r="U9" s="359">
        <f>IF(O9=1,VLOOKUP(1,B9:K10,10,0),"")</f>
        <v>2</v>
      </c>
      <c r="X9" s="358">
        <f>IF(O9=2,VLOOKUP(2,B9:K10,5,0),"")</f>
      </c>
      <c r="Y9" s="268">
        <f>IF(O9=2,VLOOKUP(2,B9:K10,6,0),"")</f>
      </c>
      <c r="Z9" s="268">
        <f>IF(O9=2,H9,"")</f>
      </c>
      <c r="AA9" s="269">
        <f>IF(O9=2,VLOOKUP(2,B9:K10,8,0),"")</f>
      </c>
      <c r="AB9" s="268">
        <f>IF(O9=2,VLOOKUP(2,B9:K10,9,0),"")</f>
      </c>
      <c r="AC9" s="359">
        <f>IF(O9=2,VLOOKUP(2,B9:K10,10,0),"")</f>
      </c>
      <c r="AG9" s="325" t="s">
        <v>319</v>
      </c>
      <c r="AH9" s="96" t="s">
        <v>319</v>
      </c>
      <c r="AI9" s="96" t="s">
        <v>319</v>
      </c>
      <c r="AJ9" s="96" t="s">
        <v>319</v>
      </c>
      <c r="AK9" s="96" t="s">
        <v>319</v>
      </c>
      <c r="AL9" s="323" t="s">
        <v>319</v>
      </c>
      <c r="AP9" s="325" t="s">
        <v>319</v>
      </c>
      <c r="AQ9" s="96" t="s">
        <v>319</v>
      </c>
      <c r="AR9" s="96" t="s">
        <v>319</v>
      </c>
      <c r="AS9" s="96" t="s">
        <v>319</v>
      </c>
      <c r="AT9" s="96" t="s">
        <v>319</v>
      </c>
      <c r="AU9" s="323" t="s">
        <v>319</v>
      </c>
    </row>
    <row r="10" spans="2:47" ht="21" customHeight="1" thickBot="1">
      <c r="B10" s="256">
        <f t="shared" si="0"/>
        <v>2</v>
      </c>
      <c r="C10" s="657"/>
      <c r="D10" s="206" t="s">
        <v>306</v>
      </c>
      <c r="E10" s="102">
        <v>11</v>
      </c>
      <c r="F10" s="208" t="str">
        <f>VLOOKUP(E10,'Clasificación 16'!$B$7:$C$22,2,0)</f>
        <v>JUANJO PINEDA LAFUENTE</v>
      </c>
      <c r="G10" s="213">
        <v>21</v>
      </c>
      <c r="H10" s="653"/>
      <c r="I10" s="234">
        <f>IF(H9="","",G10/H9)</f>
        <v>1.105263157894737</v>
      </c>
      <c r="J10" s="213">
        <v>7</v>
      </c>
      <c r="K10" s="214">
        <f>IF(H9="","",IF(G10&lt;G9,0,IF(G10&gt;G9,2,1)))</f>
        <v>0</v>
      </c>
      <c r="L10" s="201" t="str">
        <f t="shared" si="1"/>
        <v>2º</v>
      </c>
      <c r="M10" s="237"/>
      <c r="N10" s="112">
        <f t="shared" si="2"/>
        <v>0.001112263157894737</v>
      </c>
      <c r="O10" s="236">
        <f>IF(ISERROR(I10),"",RANK(N10,N9:N10))</f>
        <v>2</v>
      </c>
      <c r="P10" s="360">
        <f>IF(O10=1,VLOOKUP(1,B9:K10,5,0),"")</f>
      </c>
      <c r="Q10" s="268">
        <f>IF(O10=1,VLOOKUP(1,B9:K10,6,0),"")</f>
      </c>
      <c r="R10" s="268">
        <f>IF(O10=1,H9,"")</f>
      </c>
      <c r="S10" s="269">
        <f>IF(O10=1,VLOOKUP(1,B9:K10,8,0),"")</f>
      </c>
      <c r="T10" s="268">
        <f>IF(O10=1,VLOOKUP(1,B9:K10,9,0),"")</f>
      </c>
      <c r="U10" s="359">
        <f>IF(O10=1,VLOOKUP(1,B9:K10,10,0),"")</f>
      </c>
      <c r="X10" s="360" t="str">
        <f>IF(O10=2,VLOOKUP(2,B9:K10,5,0),"")</f>
        <v>JUANJO PINEDA LAFUENTE</v>
      </c>
      <c r="Y10" s="268">
        <f>IF(O10=2,VLOOKUP(2,B9:K10,6,0),"")</f>
        <v>21</v>
      </c>
      <c r="Z10" s="268">
        <f>IF(O10=2,H9,"")</f>
        <v>19</v>
      </c>
      <c r="AA10" s="269">
        <f>IF(O10=2,VLOOKUP(2,B9:K10,8,0),"")</f>
        <v>1.105263157894737</v>
      </c>
      <c r="AB10" s="268">
        <f>IF(O10=2,VLOOKUP(2,B9:K10,9,0),"")</f>
        <v>7</v>
      </c>
      <c r="AC10" s="359">
        <f>IF(O10=2,VLOOKUP(2,B9:K10,10,0),"")</f>
        <v>0</v>
      </c>
      <c r="AG10" s="325" t="s">
        <v>319</v>
      </c>
      <c r="AH10" s="96" t="s">
        <v>319</v>
      </c>
      <c r="AI10" s="96" t="s">
        <v>319</v>
      </c>
      <c r="AJ10" s="96" t="s">
        <v>319</v>
      </c>
      <c r="AK10" s="96" t="s">
        <v>319</v>
      </c>
      <c r="AL10" s="323" t="s">
        <v>319</v>
      </c>
      <c r="AP10" s="325" t="s">
        <v>319</v>
      </c>
      <c r="AQ10" s="96" t="s">
        <v>319</v>
      </c>
      <c r="AR10" s="96" t="s">
        <v>319</v>
      </c>
      <c r="AS10" s="96" t="s">
        <v>319</v>
      </c>
      <c r="AT10" s="96" t="s">
        <v>319</v>
      </c>
      <c r="AU10" s="323" t="s">
        <v>319</v>
      </c>
    </row>
    <row r="11" spans="2:47" ht="21" customHeight="1" thickTop="1">
      <c r="B11" s="256">
        <f t="shared" si="0"/>
        <v>1</v>
      </c>
      <c r="C11" s="657"/>
      <c r="D11" s="204">
        <v>0.75</v>
      </c>
      <c r="E11" s="91">
        <v>7</v>
      </c>
      <c r="F11" s="207" t="str">
        <f>VLOOKUP(E11,'Clasificación 16'!$B$7:$C$22,2,0)</f>
        <v>XAVIER MINGUELL ROSELLÓ</v>
      </c>
      <c r="G11" s="209">
        <v>40</v>
      </c>
      <c r="H11" s="652">
        <v>41</v>
      </c>
      <c r="I11" s="233">
        <f>IF(H11="","",G11/H11)</f>
        <v>0.975609756097561</v>
      </c>
      <c r="J11" s="209">
        <v>5</v>
      </c>
      <c r="K11" s="210">
        <f>IF(H11="","",IF(G11&lt;G12,0,IF(G11&gt;G12,2,1)))</f>
        <v>2</v>
      </c>
      <c r="L11" s="200" t="str">
        <f t="shared" si="1"/>
        <v>1º</v>
      </c>
      <c r="M11" s="237"/>
      <c r="N11" s="112">
        <f t="shared" si="2"/>
        <v>2.0009806097560974</v>
      </c>
      <c r="O11" s="236">
        <f>IF(ISERROR(I11),"",RANK(N11,N11:N12))</f>
        <v>1</v>
      </c>
      <c r="P11" s="360" t="str">
        <f>IF(O11=1,VLOOKUP(1,B11:K12,5,0),"")</f>
        <v>XAVIER MINGUELL ROSELLÓ</v>
      </c>
      <c r="Q11" s="268">
        <f>IF(O11=1,VLOOKUP(1,B11:K12,6,0),"")</f>
        <v>40</v>
      </c>
      <c r="R11" s="268">
        <f>IF(O11=1,H11,"")</f>
        <v>41</v>
      </c>
      <c r="S11" s="269">
        <f>IF(O11=1,VLOOKUP(1,B11:K12,8,0),"")</f>
        <v>0.975609756097561</v>
      </c>
      <c r="T11" s="268">
        <f>IF(O11=1,VLOOKUP(1,B11:K12,9,0),"")</f>
        <v>5</v>
      </c>
      <c r="U11" s="359">
        <f>IF(O11=1,VLOOKUP(1,B11:K12,10,0),"")</f>
        <v>2</v>
      </c>
      <c r="X11" s="358">
        <f>IF(O11=2,VLOOKUP(2,B11:K12,5,0),"")</f>
      </c>
      <c r="Y11" s="268">
        <f>IF(O11=2,VLOOKUP(2,B11:K12,6,0),"")</f>
      </c>
      <c r="Z11" s="268">
        <f>IF(O11=2,H11,"")</f>
      </c>
      <c r="AA11" s="269">
        <f>IF(O11=2,VLOOKUP(2,B11:K12,8,0),"")</f>
      </c>
      <c r="AB11" s="268">
        <f>IF(O11=2,VLOOKUP(2,B11:K12,9,0),"")</f>
      </c>
      <c r="AC11" s="359">
        <f>IF(O11=2,VLOOKUP(2,B11:K12,10,0),"")</f>
      </c>
      <c r="AG11" s="325" t="s">
        <v>319</v>
      </c>
      <c r="AH11" s="96" t="s">
        <v>319</v>
      </c>
      <c r="AI11" s="96" t="s">
        <v>319</v>
      </c>
      <c r="AJ11" s="96" t="s">
        <v>319</v>
      </c>
      <c r="AK11" s="96" t="s">
        <v>319</v>
      </c>
      <c r="AL11" s="323" t="s">
        <v>319</v>
      </c>
      <c r="AP11" s="325" t="s">
        <v>319</v>
      </c>
      <c r="AQ11" s="96" t="s">
        <v>319</v>
      </c>
      <c r="AR11" s="96" t="s">
        <v>319</v>
      </c>
      <c r="AS11" s="96" t="s">
        <v>319</v>
      </c>
      <c r="AT11" s="96" t="s">
        <v>319</v>
      </c>
      <c r="AU11" s="323" t="s">
        <v>319</v>
      </c>
    </row>
    <row r="12" spans="2:47" ht="21" customHeight="1" thickBot="1">
      <c r="B12" s="256">
        <f t="shared" si="0"/>
        <v>2</v>
      </c>
      <c r="C12" s="657"/>
      <c r="D12" s="206" t="s">
        <v>308</v>
      </c>
      <c r="E12" s="97">
        <v>10</v>
      </c>
      <c r="F12" s="208" t="str">
        <f>VLOOKUP(E12,'Clasificación 16'!$B$7:$C$22,2,0)</f>
        <v>JONATAN HERNÁNDEZ LÓPEZ</v>
      </c>
      <c r="G12" s="211">
        <v>36</v>
      </c>
      <c r="H12" s="653"/>
      <c r="I12" s="234">
        <f>IF(H11="","",G12/H11)</f>
        <v>0.8780487804878049</v>
      </c>
      <c r="J12" s="211">
        <v>5</v>
      </c>
      <c r="K12" s="212">
        <f>IF(H11="","",IF(G12&lt;G11,0,IF(G12&gt;G11,2,1)))</f>
        <v>0</v>
      </c>
      <c r="L12" s="201" t="str">
        <f t="shared" si="1"/>
        <v>2º</v>
      </c>
      <c r="M12" s="237"/>
      <c r="N12" s="112">
        <f t="shared" si="2"/>
        <v>0.0008830487804878049</v>
      </c>
      <c r="O12" s="236">
        <f>IF(ISERROR(I12),"",RANK(N12,N11:N12))</f>
        <v>2</v>
      </c>
      <c r="P12" s="360">
        <f>IF(O12=1,VLOOKUP(1,B11:K12,5,0),"")</f>
      </c>
      <c r="Q12" s="268">
        <f>IF(O12=1,VLOOKUP(1,B11:K12,6,0),"")</f>
      </c>
      <c r="R12" s="268">
        <f>IF(O12=1,H11,"")</f>
      </c>
      <c r="S12" s="269">
        <f>IF(O12=1,VLOOKUP(1,B11:K12,8,0),"")</f>
      </c>
      <c r="T12" s="268">
        <f>IF(O12=1,VLOOKUP(1,B11:K12,9,0),"")</f>
      </c>
      <c r="U12" s="359">
        <f>IF(O12=1,VLOOKUP(1,B11:K12,10,0),"")</f>
      </c>
      <c r="X12" s="360" t="str">
        <f>IF(O12=2,VLOOKUP(2,B11:K12,5,0),"")</f>
        <v>JONATAN HERNÁNDEZ LÓPEZ</v>
      </c>
      <c r="Y12" s="268">
        <f>IF(O12=2,VLOOKUP(2,B11:K12,6,0),"")</f>
        <v>36</v>
      </c>
      <c r="Z12" s="268">
        <f>IF(O12=2,H11,"")</f>
        <v>41</v>
      </c>
      <c r="AA12" s="269">
        <f>IF(O12=2,VLOOKUP(2,B11:K12,8,0),"")</f>
        <v>0.8780487804878049</v>
      </c>
      <c r="AB12" s="268">
        <f>IF(O12=2,VLOOKUP(2,B11:K12,9,0),"")</f>
        <v>5</v>
      </c>
      <c r="AC12" s="359">
        <f>IF(O12=2,VLOOKUP(2,B11:K12,10,0),"")</f>
        <v>0</v>
      </c>
      <c r="AG12" s="325" t="s">
        <v>319</v>
      </c>
      <c r="AH12" s="96" t="s">
        <v>319</v>
      </c>
      <c r="AI12" s="96" t="s">
        <v>319</v>
      </c>
      <c r="AJ12" s="96" t="s">
        <v>319</v>
      </c>
      <c r="AK12" s="96" t="s">
        <v>319</v>
      </c>
      <c r="AL12" s="323" t="s">
        <v>319</v>
      </c>
      <c r="AP12" s="325" t="s">
        <v>319</v>
      </c>
      <c r="AQ12" s="96" t="s">
        <v>319</v>
      </c>
      <c r="AR12" s="96" t="s">
        <v>319</v>
      </c>
      <c r="AS12" s="96" t="s">
        <v>319</v>
      </c>
      <c r="AT12" s="96" t="s">
        <v>319</v>
      </c>
      <c r="AU12" s="323" t="s">
        <v>319</v>
      </c>
    </row>
    <row r="13" spans="2:47" ht="21" customHeight="1" thickTop="1">
      <c r="B13" s="256">
        <f t="shared" si="0"/>
        <v>2</v>
      </c>
      <c r="C13" s="657"/>
      <c r="D13" s="204">
        <v>0.75</v>
      </c>
      <c r="E13" s="91">
        <v>8</v>
      </c>
      <c r="F13" s="207" t="str">
        <f>VLOOKUP(E13,'Clasificación 16'!$B$7:$C$22,2,0)</f>
        <v>JOSEP MARTÍN VÍLCHEZ</v>
      </c>
      <c r="G13" s="209">
        <v>35</v>
      </c>
      <c r="H13" s="652">
        <v>34</v>
      </c>
      <c r="I13" s="233">
        <f>IF(H13="","",G13/H13)</f>
        <v>1.0294117647058822</v>
      </c>
      <c r="J13" s="209">
        <v>6</v>
      </c>
      <c r="K13" s="210">
        <f>IF(H13="","",IF(G13&lt;G14,0,IF(G13&gt;G14,2,1)))</f>
        <v>0</v>
      </c>
      <c r="L13" s="200" t="str">
        <f t="shared" si="1"/>
        <v>2º</v>
      </c>
      <c r="M13" s="237"/>
      <c r="N13" s="112">
        <f t="shared" si="2"/>
        <v>0.0010354117647058821</v>
      </c>
      <c r="O13" s="236">
        <f>IF(ISERROR(I13),"",RANK(N13,N13:N14))</f>
        <v>2</v>
      </c>
      <c r="P13" s="360">
        <f>IF(O13=1,VLOOKUP(1,B13:K14,5,0),"")</f>
      </c>
      <c r="Q13" s="268">
        <f>IF(O13=1,VLOOKUP(1,B13:K14,6,0),"")</f>
      </c>
      <c r="R13" s="268">
        <f>IF(O13=1,H13,"")</f>
      </c>
      <c r="S13" s="269">
        <f>IF(O13=1,VLOOKUP(1,B13:K14,8,0),"")</f>
      </c>
      <c r="T13" s="268">
        <f>IF(O13=1,VLOOKUP(1,B13:K14,9,0),"")</f>
      </c>
      <c r="U13" s="359">
        <f>IF(O13=1,VLOOKUP(1,B13:K14,10,0),"")</f>
      </c>
      <c r="X13" s="358" t="str">
        <f>IF(O13=2,VLOOKUP(2,B13:K14,5,0),"")</f>
        <v>JOSEP MARTÍN VÍLCHEZ</v>
      </c>
      <c r="Y13" s="268">
        <f>IF(O13=2,VLOOKUP(2,B13:K14,6,0),"")</f>
        <v>35</v>
      </c>
      <c r="Z13" s="268">
        <f>IF(O13=2,H13,"")</f>
        <v>34</v>
      </c>
      <c r="AA13" s="269">
        <f>IF(O13=2,VLOOKUP(2,B13:K14,8,0),"")</f>
        <v>1.0294117647058822</v>
      </c>
      <c r="AB13" s="268">
        <f>IF(O13=2,VLOOKUP(2,B13:K14,9,0),"")</f>
        <v>6</v>
      </c>
      <c r="AC13" s="359">
        <f>IF(O13=2,VLOOKUP(2,B13:K14,10,0),"")</f>
        <v>0</v>
      </c>
      <c r="AG13" s="325" t="s">
        <v>319</v>
      </c>
      <c r="AH13" s="96" t="s">
        <v>319</v>
      </c>
      <c r="AI13" s="96" t="s">
        <v>319</v>
      </c>
      <c r="AJ13" s="96" t="s">
        <v>319</v>
      </c>
      <c r="AK13" s="96" t="s">
        <v>319</v>
      </c>
      <c r="AL13" s="323" t="s">
        <v>319</v>
      </c>
      <c r="AP13" s="325" t="s">
        <v>319</v>
      </c>
      <c r="AQ13" s="96" t="s">
        <v>319</v>
      </c>
      <c r="AR13" s="96" t="s">
        <v>319</v>
      </c>
      <c r="AS13" s="96" t="s">
        <v>319</v>
      </c>
      <c r="AT13" s="96" t="s">
        <v>319</v>
      </c>
      <c r="AU13" s="323" t="s">
        <v>319</v>
      </c>
    </row>
    <row r="14" spans="2:47" ht="21" customHeight="1" thickBot="1">
      <c r="B14" s="256">
        <f t="shared" si="0"/>
        <v>1</v>
      </c>
      <c r="C14" s="657"/>
      <c r="D14" s="206" t="s">
        <v>307</v>
      </c>
      <c r="E14" s="102">
        <v>9</v>
      </c>
      <c r="F14" s="208" t="str">
        <f>VLOOKUP(E14,'Clasificación 16'!$B$7:$C$22,2,0)</f>
        <v>XAVIER FONELLOSA CASANOVAS</v>
      </c>
      <c r="G14" s="213">
        <v>40</v>
      </c>
      <c r="H14" s="653"/>
      <c r="I14" s="234">
        <f>IF(H13="","",G14/H13)</f>
        <v>1.1764705882352942</v>
      </c>
      <c r="J14" s="213">
        <v>6</v>
      </c>
      <c r="K14" s="214">
        <f>IF(H13="","",IF(G14&lt;G13,0,IF(G14&gt;G13,2,1)))</f>
        <v>2</v>
      </c>
      <c r="L14" s="201" t="str">
        <f t="shared" si="1"/>
        <v>1º</v>
      </c>
      <c r="M14" s="237"/>
      <c r="N14" s="112">
        <f t="shared" si="2"/>
        <v>2.001182470588235</v>
      </c>
      <c r="O14" s="236">
        <f>IF(ISERROR(I14),"",RANK(N14,N13:N14))</f>
        <v>1</v>
      </c>
      <c r="P14" s="360" t="str">
        <f>IF(O14=1,VLOOKUP(1,B13:K14,5,0),"")</f>
        <v>XAVIER FONELLOSA CASANOVAS</v>
      </c>
      <c r="Q14" s="268">
        <f>IF(O14=1,VLOOKUP(1,B13:K14,6,0),"")</f>
        <v>40</v>
      </c>
      <c r="R14" s="268">
        <f>IF(O14=1,H13,"")</f>
        <v>34</v>
      </c>
      <c r="S14" s="269">
        <f>IF(O14=1,VLOOKUP(1,B13:K14,8,0),"")</f>
        <v>1.1764705882352942</v>
      </c>
      <c r="T14" s="268">
        <f>IF(O14=1,VLOOKUP(1,B13:K14,9,0),"")</f>
        <v>6</v>
      </c>
      <c r="U14" s="359">
        <f>IF(O14=1,VLOOKUP(1,B13:K14,10,0),"")</f>
        <v>2</v>
      </c>
      <c r="X14" s="360">
        <f>IF(O14=2,VLOOKUP(2,B13:K14,5,0),"")</f>
      </c>
      <c r="Y14" s="268">
        <f>IF(O14=2,VLOOKUP(2,B13:K14,6,0),"")</f>
      </c>
      <c r="Z14" s="268">
        <f>IF(O14=2,H13,"")</f>
      </c>
      <c r="AA14" s="269">
        <f>IF(O14=2,VLOOKUP(2,B13:K14,8,0),"")</f>
      </c>
      <c r="AB14" s="268">
        <f>IF(O14=2,VLOOKUP(2,B13:K14,9,0),"")</f>
      </c>
      <c r="AC14" s="359">
        <f>IF(O14=2,VLOOKUP(2,B13:K14,10,0),"")</f>
      </c>
      <c r="AG14" s="325" t="s">
        <v>319</v>
      </c>
      <c r="AH14" s="96" t="s">
        <v>319</v>
      </c>
      <c r="AI14" s="96" t="s">
        <v>319</v>
      </c>
      <c r="AJ14" s="96" t="s">
        <v>319</v>
      </c>
      <c r="AK14" s="96" t="s">
        <v>319</v>
      </c>
      <c r="AL14" s="323" t="s">
        <v>319</v>
      </c>
      <c r="AP14" s="325" t="s">
        <v>319</v>
      </c>
      <c r="AQ14" s="96" t="s">
        <v>319</v>
      </c>
      <c r="AR14" s="96" t="s">
        <v>319</v>
      </c>
      <c r="AS14" s="96" t="s">
        <v>319</v>
      </c>
      <c r="AT14" s="96" t="s">
        <v>319</v>
      </c>
      <c r="AU14" s="323" t="s">
        <v>319</v>
      </c>
    </row>
    <row r="15" spans="2:47" ht="21" customHeight="1" thickTop="1">
      <c r="B15" s="256">
        <f aca="true" t="shared" si="3" ref="B15:B22">O15</f>
        <v>1</v>
      </c>
      <c r="C15" s="658" t="s">
        <v>312</v>
      </c>
      <c r="D15" s="204">
        <v>0.8333333333333334</v>
      </c>
      <c r="E15" s="91">
        <v>1</v>
      </c>
      <c r="F15" s="207" t="str">
        <f>VLOOKUP(E15,'Clasificación 16'!$B$7:$C$22,2,0)</f>
        <v>RICARDO GARCÍA ALARCÓN</v>
      </c>
      <c r="G15" s="209">
        <v>40</v>
      </c>
      <c r="H15" s="652">
        <v>22</v>
      </c>
      <c r="I15" s="233">
        <f>IF(H15="","",G15/H15)</f>
        <v>1.8181818181818181</v>
      </c>
      <c r="J15" s="209">
        <v>16</v>
      </c>
      <c r="K15" s="210">
        <f>IF(H15="","",IF(G15&lt;G16,0,IF(G15&gt;G16,2,1)))</f>
        <v>2</v>
      </c>
      <c r="L15" s="200" t="str">
        <f aca="true" t="shared" si="4" ref="L15:L22">IF(ISERROR(I15),"",O15&amp;"º")</f>
        <v>1º</v>
      </c>
      <c r="M15" s="237"/>
      <c r="N15" s="112">
        <f aca="true" t="shared" si="5" ref="N15:N22">IF(ISERROR(I15),"",SUM(K15,I15/1000,J15/1000000))</f>
        <v>2.001834181818182</v>
      </c>
      <c r="O15" s="236">
        <f>IF(ISERROR(I15),"",RANK(N15,N15:N16))</f>
        <v>1</v>
      </c>
      <c r="P15" s="360" t="str">
        <f>IF(O15=1,VLOOKUP(1,B15:K16,5,0),"")</f>
        <v>RICARDO GARCÍA ALARCÓN</v>
      </c>
      <c r="Q15" s="268">
        <f>IF(O15=1,VLOOKUP(1,B15:K16,6,0),"")</f>
        <v>40</v>
      </c>
      <c r="R15" s="268">
        <f>IF(O15=1,H15,"")</f>
        <v>22</v>
      </c>
      <c r="S15" s="269">
        <f>IF(O15=1,VLOOKUP(1,B15:K16,8,0),"")</f>
        <v>1.8181818181818181</v>
      </c>
      <c r="T15" s="268">
        <f>IF(O15=1,VLOOKUP(1,B15:K16,9,0),"")</f>
        <v>16</v>
      </c>
      <c r="U15" s="359">
        <f>IF(O15=1,VLOOKUP(1,B15:K16,10,0),"")</f>
        <v>2</v>
      </c>
      <c r="X15" s="358">
        <f>IF(O15=2,VLOOKUP(2,B15:K16,5,0),"")</f>
      </c>
      <c r="Y15" s="268">
        <f>IF(O15=2,VLOOKUP(2,B15:K16,6,0),"")</f>
      </c>
      <c r="Z15" s="268">
        <f>IF(O15=2,H15,"")</f>
      </c>
      <c r="AA15" s="269">
        <f>IF(O15=2,VLOOKUP(2,B15:K16,8,0),"")</f>
      </c>
      <c r="AB15" s="268">
        <f>IF(O15=2,VLOOKUP(2,B15:K16,9,0),"")</f>
      </c>
      <c r="AC15" s="359">
        <f>IF(O15=2,VLOOKUP(2,B15:K16,10,0),"")</f>
      </c>
      <c r="AE15" s="143">
        <v>1</v>
      </c>
      <c r="AG15" s="326" t="s">
        <v>25</v>
      </c>
      <c r="AH15" s="327">
        <v>40</v>
      </c>
      <c r="AI15" s="327">
        <v>19</v>
      </c>
      <c r="AJ15" s="327">
        <v>2.1052631578947367</v>
      </c>
      <c r="AK15" s="327">
        <v>12</v>
      </c>
      <c r="AL15" s="328">
        <v>2</v>
      </c>
      <c r="AN15" s="143">
        <v>1</v>
      </c>
      <c r="AP15" s="332" t="s">
        <v>28</v>
      </c>
      <c r="AQ15" s="333">
        <v>21</v>
      </c>
      <c r="AR15" s="333">
        <v>19</v>
      </c>
      <c r="AS15" s="333">
        <v>1.105263157894737</v>
      </c>
      <c r="AT15" s="333">
        <v>7</v>
      </c>
      <c r="AU15" s="334">
        <v>0</v>
      </c>
    </row>
    <row r="16" spans="2:47" ht="21" customHeight="1" thickBot="1">
      <c r="B16" s="256">
        <f t="shared" si="3"/>
        <v>2</v>
      </c>
      <c r="C16" s="658"/>
      <c r="D16" s="205" t="s">
        <v>310</v>
      </c>
      <c r="E16" s="97">
        <v>16</v>
      </c>
      <c r="F16" s="208" t="str">
        <f>VLOOKUP(E16,'Clasificación 16'!$B$7:$C$22,2,0)</f>
        <v>RICARD FIOL MESZAROS</v>
      </c>
      <c r="G16" s="211">
        <v>15</v>
      </c>
      <c r="H16" s="653"/>
      <c r="I16" s="234">
        <f>IF(H15="","",G16/H15)</f>
        <v>0.6818181818181818</v>
      </c>
      <c r="J16" s="211">
        <v>6</v>
      </c>
      <c r="K16" s="212">
        <f>IF(H15="","",IF(G16&lt;G15,0,IF(G16&gt;G15,2,1)))</f>
        <v>0</v>
      </c>
      <c r="L16" s="201" t="str">
        <f t="shared" si="4"/>
        <v>2º</v>
      </c>
      <c r="M16" s="237"/>
      <c r="N16" s="112">
        <f t="shared" si="5"/>
        <v>0.0006878181818181818</v>
      </c>
      <c r="O16" s="236">
        <f>IF(ISERROR(I16),"",RANK(N16,N15:N16))</f>
        <v>2</v>
      </c>
      <c r="P16" s="360">
        <f>IF(O16=1,VLOOKUP(1,B15:K16,5,0),"")</f>
      </c>
      <c r="Q16" s="268">
        <f>IF(O16=1,VLOOKUP(1,B15:K16,6,0),"")</f>
      </c>
      <c r="R16" s="268">
        <f>IF(O16=1,H15,"")</f>
      </c>
      <c r="S16" s="269">
        <f>IF(O16=1,VLOOKUP(1,B15:K16,8,0),"")</f>
      </c>
      <c r="T16" s="268">
        <f>IF(O16=1,VLOOKUP(1,B15:K16,9,0),"")</f>
      </c>
      <c r="U16" s="359">
        <f>IF(O16=1,VLOOKUP(1,B15:K16,10,0),"")</f>
      </c>
      <c r="X16" s="360" t="str">
        <f>IF(O16=2,VLOOKUP(2,B15:K16,5,0),"")</f>
        <v>RICARD FIOL MESZAROS</v>
      </c>
      <c r="Y16" s="268">
        <f>IF(O16=2,VLOOKUP(2,B15:K16,6,0),"")</f>
        <v>15</v>
      </c>
      <c r="Z16" s="268">
        <f>IF(O16=2,H15,"")</f>
        <v>22</v>
      </c>
      <c r="AA16" s="269">
        <f>IF(O16=2,VLOOKUP(2,B15:K16,8,0),"")</f>
        <v>0.6818181818181818</v>
      </c>
      <c r="AB16" s="268">
        <f>IF(O16=2,VLOOKUP(2,B15:K16,9,0),"")</f>
        <v>6</v>
      </c>
      <c r="AC16" s="359">
        <f>IF(O16=2,VLOOKUP(2,B15:K16,10,0),"")</f>
        <v>0</v>
      </c>
      <c r="AE16" s="143">
        <v>2</v>
      </c>
      <c r="AG16" s="326" t="s">
        <v>251</v>
      </c>
      <c r="AH16" s="327">
        <v>40</v>
      </c>
      <c r="AI16" s="327">
        <v>22</v>
      </c>
      <c r="AJ16" s="327">
        <v>1.8181818181818181</v>
      </c>
      <c r="AK16" s="327">
        <v>16</v>
      </c>
      <c r="AL16" s="328">
        <v>2</v>
      </c>
      <c r="AN16" s="143">
        <v>2</v>
      </c>
      <c r="AP16" s="332" t="s">
        <v>253</v>
      </c>
      <c r="AQ16" s="333">
        <v>35</v>
      </c>
      <c r="AR16" s="333">
        <v>34</v>
      </c>
      <c r="AS16" s="333">
        <v>1.0294117647058822</v>
      </c>
      <c r="AT16" s="333">
        <v>6</v>
      </c>
      <c r="AU16" s="334">
        <v>0</v>
      </c>
    </row>
    <row r="17" spans="2:47" ht="21" customHeight="1" thickTop="1">
      <c r="B17" s="256">
        <f t="shared" si="3"/>
        <v>1</v>
      </c>
      <c r="C17" s="658"/>
      <c r="D17" s="204">
        <v>0.8333333333333334</v>
      </c>
      <c r="E17" s="91">
        <v>2</v>
      </c>
      <c r="F17" s="207" t="str">
        <f>VLOOKUP(E17,'Clasificación 16'!$B$7:$C$22,2,0)</f>
        <v>ANTONIO MONTES MONFERRER</v>
      </c>
      <c r="G17" s="209">
        <v>40</v>
      </c>
      <c r="H17" s="652">
        <v>25</v>
      </c>
      <c r="I17" s="233">
        <f>IF(H17="","",G17/H17)</f>
        <v>1.6</v>
      </c>
      <c r="J17" s="209">
        <v>7</v>
      </c>
      <c r="K17" s="210">
        <f>IF(H17="","",IF(G17&lt;G18,0,IF(G17&gt;G18,2,1)))</f>
        <v>2</v>
      </c>
      <c r="L17" s="200" t="str">
        <f t="shared" si="4"/>
        <v>1º</v>
      </c>
      <c r="M17" s="237"/>
      <c r="N17" s="112">
        <f t="shared" si="5"/>
        <v>2.001607</v>
      </c>
      <c r="O17" s="236">
        <f>IF(ISERROR(I17),"",RANK(N17,N17:N18))</f>
        <v>1</v>
      </c>
      <c r="P17" s="360" t="str">
        <f>IF(O17=1,VLOOKUP(1,B17:K18,5,0),"")</f>
        <v>ANTONIO MONTES MONFERRER</v>
      </c>
      <c r="Q17" s="268">
        <f>IF(O17=1,VLOOKUP(1,B17:K18,6,0),"")</f>
        <v>40</v>
      </c>
      <c r="R17" s="268">
        <f>IF(O17=1,H17,"")</f>
        <v>25</v>
      </c>
      <c r="S17" s="269">
        <f>IF(O17=1,VLOOKUP(1,B17:K18,8,0),"")</f>
        <v>1.6</v>
      </c>
      <c r="T17" s="268">
        <f>IF(O17=1,VLOOKUP(1,B17:K18,9,0),"")</f>
        <v>7</v>
      </c>
      <c r="U17" s="359">
        <f>IF(O17=1,VLOOKUP(1,B17:K18,10,0),"")</f>
        <v>2</v>
      </c>
      <c r="X17" s="358">
        <f>IF(O17=2,VLOOKUP(2,B17:K18,5,0),"")</f>
      </c>
      <c r="Y17" s="268">
        <f>IF(O17=2,VLOOKUP(2,B17:K18,6,0),"")</f>
      </c>
      <c r="Z17" s="268">
        <f>IF(O17=2,H17,"")</f>
      </c>
      <c r="AA17" s="269">
        <f>IF(O17=2,VLOOKUP(2,B17:K18,8,0),"")</f>
      </c>
      <c r="AB17" s="268">
        <f>IF(O17=2,VLOOKUP(2,B17:K18,9,0),"")</f>
      </c>
      <c r="AC17" s="359">
        <f>IF(O17=2,VLOOKUP(2,B17:K18,10,0),"")</f>
      </c>
      <c r="AE17" s="143">
        <v>3</v>
      </c>
      <c r="AG17" s="326" t="s">
        <v>22</v>
      </c>
      <c r="AH17" s="327">
        <v>40</v>
      </c>
      <c r="AI17" s="327">
        <v>25</v>
      </c>
      <c r="AJ17" s="327">
        <v>1.6</v>
      </c>
      <c r="AK17" s="327">
        <v>7</v>
      </c>
      <c r="AL17" s="328">
        <v>2</v>
      </c>
      <c r="AN17" s="143">
        <v>3</v>
      </c>
      <c r="AP17" s="332" t="s">
        <v>222</v>
      </c>
      <c r="AQ17" s="333">
        <v>36</v>
      </c>
      <c r="AR17" s="333">
        <v>41</v>
      </c>
      <c r="AS17" s="333">
        <v>0.8780487804878049</v>
      </c>
      <c r="AT17" s="333">
        <v>5</v>
      </c>
      <c r="AU17" s="334">
        <v>0</v>
      </c>
    </row>
    <row r="18" spans="2:47" ht="21" customHeight="1" thickBot="1">
      <c r="B18" s="256">
        <f t="shared" si="3"/>
        <v>2</v>
      </c>
      <c r="C18" s="658"/>
      <c r="D18" s="206" t="s">
        <v>306</v>
      </c>
      <c r="E18" s="102">
        <v>15</v>
      </c>
      <c r="F18" s="208" t="str">
        <f>VLOOKUP(E18,'Clasificación 16'!$B$7:$C$22,2,0)</f>
        <v>RAFAEL SALAZAR HERNÁNDEZ</v>
      </c>
      <c r="G18" s="211">
        <v>15</v>
      </c>
      <c r="H18" s="653"/>
      <c r="I18" s="234">
        <f>IF(H17="","",G18/H17)</f>
        <v>0.6</v>
      </c>
      <c r="J18" s="211">
        <v>2</v>
      </c>
      <c r="K18" s="212">
        <f>IF(H17="","",IF(G18&lt;G17,0,IF(G18&gt;G17,2,1)))</f>
        <v>0</v>
      </c>
      <c r="L18" s="201" t="str">
        <f t="shared" si="4"/>
        <v>2º</v>
      </c>
      <c r="M18" s="237"/>
      <c r="N18" s="112">
        <f t="shared" si="5"/>
        <v>0.000602</v>
      </c>
      <c r="O18" s="236">
        <f>IF(ISERROR(I18),"",RANK(N18,N17:N18))</f>
        <v>2</v>
      </c>
      <c r="P18" s="360">
        <f>IF(O18=1,VLOOKUP(1,B17:K18,5,0),"")</f>
      </c>
      <c r="Q18" s="268">
        <f>IF(O18=1,VLOOKUP(1,B17:K18,6,0),"")</f>
      </c>
      <c r="R18" s="268">
        <f>IF(O18=1,H17,"")</f>
      </c>
      <c r="S18" s="269">
        <f>IF(O18=1,VLOOKUP(1,B17:K18,8,0),"")</f>
      </c>
      <c r="T18" s="268">
        <f>IF(O18=1,VLOOKUP(1,B17:K18,9,0),"")</f>
      </c>
      <c r="U18" s="359">
        <f>IF(O18=1,VLOOKUP(1,B17:K18,10,0),"")</f>
      </c>
      <c r="X18" s="360" t="str">
        <f>IF(O18=2,VLOOKUP(2,B17:K18,5,0),"")</f>
        <v>RAFAEL SALAZAR HERNÁNDEZ</v>
      </c>
      <c r="Y18" s="268">
        <f>IF(O18=2,VLOOKUP(2,B17:K18,6,0),"")</f>
        <v>15</v>
      </c>
      <c r="Z18" s="268">
        <f>IF(O18=2,H17,"")</f>
        <v>25</v>
      </c>
      <c r="AA18" s="269">
        <f>IF(O18=2,VLOOKUP(2,B17:K18,8,0),"")</f>
        <v>0.6</v>
      </c>
      <c r="AB18" s="268">
        <f>IF(O18=2,VLOOKUP(2,B17:K18,9,0),"")</f>
        <v>2</v>
      </c>
      <c r="AC18" s="359">
        <f>IF(O18=2,VLOOKUP(2,B17:K18,10,0),"")</f>
        <v>0</v>
      </c>
      <c r="AE18" s="143">
        <v>4</v>
      </c>
      <c r="AG18" s="326" t="s">
        <v>24</v>
      </c>
      <c r="AH18" s="327">
        <v>40</v>
      </c>
      <c r="AI18" s="327">
        <v>32</v>
      </c>
      <c r="AJ18" s="327">
        <v>1.25</v>
      </c>
      <c r="AK18" s="327">
        <v>6</v>
      </c>
      <c r="AL18" s="328">
        <v>2</v>
      </c>
      <c r="AN18" s="143">
        <v>4</v>
      </c>
      <c r="AP18" s="332" t="s">
        <v>219</v>
      </c>
      <c r="AQ18" s="333">
        <v>32</v>
      </c>
      <c r="AR18" s="333">
        <v>37</v>
      </c>
      <c r="AS18" s="333">
        <v>0.8648648648648649</v>
      </c>
      <c r="AT18" s="333">
        <v>4</v>
      </c>
      <c r="AU18" s="334">
        <v>0</v>
      </c>
    </row>
    <row r="19" spans="2:47" ht="21" customHeight="1" thickTop="1">
      <c r="B19" s="256">
        <f t="shared" si="3"/>
        <v>1</v>
      </c>
      <c r="C19" s="658"/>
      <c r="D19" s="204">
        <v>0.8333333333333334</v>
      </c>
      <c r="E19" s="104">
        <v>3</v>
      </c>
      <c r="F19" s="207" t="str">
        <f>VLOOKUP(E19,'Clasificación 16'!$B$7:$C$22,2,0)</f>
        <v>JAVIER YESTE DE PABLO</v>
      </c>
      <c r="G19" s="209">
        <v>40</v>
      </c>
      <c r="H19" s="652">
        <v>32</v>
      </c>
      <c r="I19" s="233">
        <f>IF(H19="","",G19/H19)</f>
        <v>1.25</v>
      </c>
      <c r="J19" s="209">
        <v>6</v>
      </c>
      <c r="K19" s="210">
        <f>IF(H19="","",IF(G19&lt;G20,0,IF(G19&gt;G20,2,1)))</f>
        <v>2</v>
      </c>
      <c r="L19" s="200" t="str">
        <f t="shared" si="4"/>
        <v>1º</v>
      </c>
      <c r="M19" s="237"/>
      <c r="N19" s="112">
        <f t="shared" si="5"/>
        <v>2.001256</v>
      </c>
      <c r="O19" s="236">
        <f>IF(ISERROR(I19),"",RANK(N19,N19:N20))</f>
        <v>1</v>
      </c>
      <c r="P19" s="360" t="str">
        <f>IF(O19=1,VLOOKUP(1,B19:K20,5,0),"")</f>
        <v>JAVIER YESTE DE PABLO</v>
      </c>
      <c r="Q19" s="268">
        <f>IF(O19=1,VLOOKUP(1,B19:K20,6,0),"")</f>
        <v>40</v>
      </c>
      <c r="R19" s="268">
        <f>IF(O19=1,H19,"")</f>
        <v>32</v>
      </c>
      <c r="S19" s="269">
        <f>IF(O19=1,VLOOKUP(1,B19:K20,8,0),"")</f>
        <v>1.25</v>
      </c>
      <c r="T19" s="268">
        <f>IF(O19=1,VLOOKUP(1,B19:K20,9,0),"")</f>
        <v>6</v>
      </c>
      <c r="U19" s="359">
        <f>IF(O19=1,VLOOKUP(1,B19:K20,10,0),"")</f>
        <v>2</v>
      </c>
      <c r="X19" s="358">
        <f>IF(O19=2,VLOOKUP(2,B19:K20,5,0),"")</f>
      </c>
      <c r="Y19" s="268">
        <f>IF(O19=2,VLOOKUP(2,B19:K20,6,0),"")</f>
      </c>
      <c r="Z19" s="268">
        <f>IF(O19=2,H19,"")</f>
      </c>
      <c r="AA19" s="269">
        <f>IF(O19=2,VLOOKUP(2,B19:K20,8,0),"")</f>
      </c>
      <c r="AB19" s="268">
        <f>IF(O19=2,VLOOKUP(2,B19:K20,9,0),"")</f>
      </c>
      <c r="AC19" s="359">
        <f>IF(O19=2,VLOOKUP(2,B19:K20,10,0),"")</f>
      </c>
      <c r="AE19" s="143">
        <v>5</v>
      </c>
      <c r="AG19" s="326" t="s">
        <v>31</v>
      </c>
      <c r="AH19" s="327">
        <v>40</v>
      </c>
      <c r="AI19" s="327">
        <v>34</v>
      </c>
      <c r="AJ19" s="327">
        <v>1.1764705882352942</v>
      </c>
      <c r="AK19" s="327">
        <v>6</v>
      </c>
      <c r="AL19" s="328">
        <v>2</v>
      </c>
      <c r="AN19" s="143">
        <v>5</v>
      </c>
      <c r="AP19" s="332" t="s">
        <v>33</v>
      </c>
      <c r="AQ19" s="333">
        <v>25</v>
      </c>
      <c r="AR19" s="333">
        <v>32</v>
      </c>
      <c r="AS19" s="333">
        <v>0.78125</v>
      </c>
      <c r="AT19" s="333">
        <v>3</v>
      </c>
      <c r="AU19" s="334">
        <v>0</v>
      </c>
    </row>
    <row r="20" spans="2:47" ht="21" customHeight="1" thickBot="1">
      <c r="B20" s="256">
        <f t="shared" si="3"/>
        <v>2</v>
      </c>
      <c r="C20" s="658"/>
      <c r="D20" s="206" t="s">
        <v>308</v>
      </c>
      <c r="E20" s="102">
        <v>14</v>
      </c>
      <c r="F20" s="208" t="str">
        <f>VLOOKUP(E20,'Clasificación 16'!$B$7:$C$22,2,0)</f>
        <v>MANUEL PASTOR RIVAS</v>
      </c>
      <c r="G20" s="213">
        <v>25</v>
      </c>
      <c r="H20" s="653"/>
      <c r="I20" s="234">
        <f>IF(H19="","",G20/H19)</f>
        <v>0.78125</v>
      </c>
      <c r="J20" s="213">
        <v>3</v>
      </c>
      <c r="K20" s="214">
        <f>IF(H19="","",IF(G20&lt;G19,0,IF(G20&gt;G19,2,1)))</f>
        <v>0</v>
      </c>
      <c r="L20" s="201" t="str">
        <f t="shared" si="4"/>
        <v>2º</v>
      </c>
      <c r="M20" s="237"/>
      <c r="N20" s="112">
        <f t="shared" si="5"/>
        <v>0.00078425</v>
      </c>
      <c r="O20" s="236">
        <f>IF(ISERROR(I20),"",RANK(N20,N19:N20))</f>
        <v>2</v>
      </c>
      <c r="P20" s="360">
        <f>IF(O20=1,VLOOKUP(1,B19:K20,5,0),"")</f>
      </c>
      <c r="Q20" s="268">
        <f>IF(O20=1,VLOOKUP(1,B19:K20,6,0),"")</f>
      </c>
      <c r="R20" s="268">
        <f>IF(O20=1,H19,"")</f>
      </c>
      <c r="S20" s="269">
        <f>IF(O20=1,VLOOKUP(1,B19:K20,8,0),"")</f>
      </c>
      <c r="T20" s="268">
        <f>IF(O20=1,VLOOKUP(1,B19:K20,9,0),"")</f>
      </c>
      <c r="U20" s="359">
        <f>IF(O20=1,VLOOKUP(1,B19:K20,10,0),"")</f>
      </c>
      <c r="X20" s="360" t="str">
        <f>IF(O20=2,VLOOKUP(2,B19:K20,5,0),"")</f>
        <v>MANUEL PASTOR RIVAS</v>
      </c>
      <c r="Y20" s="268">
        <f>IF(O20=2,VLOOKUP(2,B19:K20,6,0),"")</f>
        <v>25</v>
      </c>
      <c r="Z20" s="268">
        <f>IF(O20=2,H19,"")</f>
        <v>32</v>
      </c>
      <c r="AA20" s="269">
        <f>IF(O20=2,VLOOKUP(2,B19:K20,8,0),"")</f>
        <v>0.78125</v>
      </c>
      <c r="AB20" s="268">
        <f>IF(O20=2,VLOOKUP(2,B19:K20,9,0),"")</f>
        <v>3</v>
      </c>
      <c r="AC20" s="359">
        <f>IF(O20=2,VLOOKUP(2,B19:K20,10,0),"")</f>
        <v>0</v>
      </c>
      <c r="AE20" s="143">
        <v>6</v>
      </c>
      <c r="AG20" s="326" t="s">
        <v>252</v>
      </c>
      <c r="AH20" s="327">
        <v>40</v>
      </c>
      <c r="AI20" s="327">
        <v>37</v>
      </c>
      <c r="AJ20" s="327">
        <v>1.0810810810810811</v>
      </c>
      <c r="AK20" s="327">
        <v>5</v>
      </c>
      <c r="AL20" s="328">
        <v>2</v>
      </c>
      <c r="AN20" s="143">
        <v>6</v>
      </c>
      <c r="AP20" s="332" t="s">
        <v>220</v>
      </c>
      <c r="AQ20" s="333">
        <v>28</v>
      </c>
      <c r="AR20" s="333">
        <v>39</v>
      </c>
      <c r="AS20" s="333">
        <v>0.717948717948718</v>
      </c>
      <c r="AT20" s="333">
        <v>7</v>
      </c>
      <c r="AU20" s="334">
        <v>0</v>
      </c>
    </row>
    <row r="21" spans="2:47" ht="21" customHeight="1" thickTop="1">
      <c r="B21" s="256">
        <f t="shared" si="3"/>
        <v>1</v>
      </c>
      <c r="C21" s="658"/>
      <c r="D21" s="204">
        <v>0.8333333333333334</v>
      </c>
      <c r="E21" s="91">
        <v>4</v>
      </c>
      <c r="F21" s="207" t="str">
        <f>VLOOKUP(E21,'Clasificación 16'!$B$7:$C$22,2,0)</f>
        <v>JUAN BOUTERÍN BOTE</v>
      </c>
      <c r="G21" s="209">
        <v>40</v>
      </c>
      <c r="H21" s="652">
        <v>37</v>
      </c>
      <c r="I21" s="233">
        <f>IF(H21="","",G21/H21)</f>
        <v>1.0810810810810811</v>
      </c>
      <c r="J21" s="209">
        <v>5</v>
      </c>
      <c r="K21" s="210">
        <f>IF(H21="","",IF(G21&lt;G22,0,IF(G21&gt;G22,2,1)))</f>
        <v>2</v>
      </c>
      <c r="L21" s="200" t="str">
        <f t="shared" si="4"/>
        <v>1º</v>
      </c>
      <c r="M21" s="237"/>
      <c r="N21" s="112">
        <f t="shared" si="5"/>
        <v>2.001086081081081</v>
      </c>
      <c r="O21" s="236">
        <f>IF(ISERROR(I21),"",RANK(N21,N21:N22))</f>
        <v>1</v>
      </c>
      <c r="P21" s="360" t="str">
        <f>IF(O21=1,VLOOKUP(1,B21:K22,5,0),"")</f>
        <v>JUAN BOUTERÍN BOTE</v>
      </c>
      <c r="Q21" s="268">
        <f>IF(O21=1,VLOOKUP(1,B21:K22,6,0),"")</f>
        <v>40</v>
      </c>
      <c r="R21" s="268">
        <f>IF(O21=1,H21,"")</f>
        <v>37</v>
      </c>
      <c r="S21" s="269">
        <f>IF(O21=1,VLOOKUP(1,B21:K22,8,0),"")</f>
        <v>1.0810810810810811</v>
      </c>
      <c r="T21" s="268">
        <f>IF(O21=1,VLOOKUP(1,B21:K22,9,0),"")</f>
        <v>5</v>
      </c>
      <c r="U21" s="359">
        <f>IF(O21=1,VLOOKUP(1,B21:K22,10,0),"")</f>
        <v>2</v>
      </c>
      <c r="X21" s="358">
        <f>IF(O21=2,VLOOKUP(2,B21:K22,5,0),"")</f>
      </c>
      <c r="Y21" s="268">
        <f>IF(O21=2,VLOOKUP(2,B21:K22,6,0),"")</f>
      </c>
      <c r="Z21" s="268">
        <f>IF(O21=2,H21,"")</f>
      </c>
      <c r="AA21" s="269">
        <f>IF(O21=2,VLOOKUP(2,B21:K22,8,0),"")</f>
      </c>
      <c r="AB21" s="268">
        <f>IF(O21=2,VLOOKUP(2,B21:K22,9,0),"")</f>
      </c>
      <c r="AC21" s="359">
        <f>IF(O21=2,VLOOKUP(2,B21:K22,10,0),"")</f>
      </c>
      <c r="AE21" s="143">
        <v>7</v>
      </c>
      <c r="AG21" s="326" t="s">
        <v>216</v>
      </c>
      <c r="AH21" s="327">
        <v>40</v>
      </c>
      <c r="AI21" s="327">
        <v>39</v>
      </c>
      <c r="AJ21" s="327">
        <v>1.0256410256410255</v>
      </c>
      <c r="AK21" s="327">
        <v>6</v>
      </c>
      <c r="AL21" s="328">
        <v>2</v>
      </c>
      <c r="AN21" s="143">
        <v>7</v>
      </c>
      <c r="AP21" s="332" t="s">
        <v>37</v>
      </c>
      <c r="AQ21" s="333">
        <v>15</v>
      </c>
      <c r="AR21" s="333">
        <v>22</v>
      </c>
      <c r="AS21" s="333">
        <v>0.6818181818181818</v>
      </c>
      <c r="AT21" s="333">
        <v>6</v>
      </c>
      <c r="AU21" s="334">
        <v>0</v>
      </c>
    </row>
    <row r="22" spans="2:47" ht="21" customHeight="1" thickBot="1">
      <c r="B22" s="256">
        <f t="shared" si="3"/>
        <v>2</v>
      </c>
      <c r="C22" s="658"/>
      <c r="D22" s="206" t="s">
        <v>307</v>
      </c>
      <c r="E22" s="102">
        <v>13</v>
      </c>
      <c r="F22" s="208" t="str">
        <f>VLOOKUP(E22,'Clasificación 16'!$B$7:$C$22,2,0)</f>
        <v>JESÚS GONZÁLEZ LÓPEZ</v>
      </c>
      <c r="G22" s="213">
        <v>32</v>
      </c>
      <c r="H22" s="653"/>
      <c r="I22" s="234">
        <f>IF(H21="","",G22/H21)</f>
        <v>0.8648648648648649</v>
      </c>
      <c r="J22" s="213">
        <v>4</v>
      </c>
      <c r="K22" s="214">
        <f>IF(H21="","",IF(G22&lt;G21,0,IF(G22&gt;G21,2,1)))</f>
        <v>0</v>
      </c>
      <c r="L22" s="201" t="str">
        <f t="shared" si="4"/>
        <v>2º</v>
      </c>
      <c r="M22" s="237"/>
      <c r="N22" s="112">
        <f t="shared" si="5"/>
        <v>0.000868864864864865</v>
      </c>
      <c r="O22" s="236">
        <f>IF(ISERROR(I22),"",RANK(N22,N21:N22))</f>
        <v>2</v>
      </c>
      <c r="P22" s="361">
        <f>IF(O22=1,VLOOKUP(1,B21:K22,5,0),"")</f>
      </c>
      <c r="Q22" s="362">
        <f>IF(O22=1,VLOOKUP(1,B21:K22,6,0),"")</f>
      </c>
      <c r="R22" s="362">
        <f>IF(O22=1,H21,"")</f>
      </c>
      <c r="S22" s="363">
        <f>IF(O22=1,VLOOKUP(1,B21:K22,8,0),"")</f>
      </c>
      <c r="T22" s="362">
        <f>IF(O22=1,VLOOKUP(1,B21:K22,9,0),"")</f>
      </c>
      <c r="U22" s="364">
        <f>IF(O22=1,VLOOKUP(1,B21:K22,10,0),"")</f>
      </c>
      <c r="X22" s="361" t="str">
        <f>IF(O22=2,VLOOKUP(2,B21:K22,5,0),"")</f>
        <v>JESÚS GONZÁLEZ LÓPEZ</v>
      </c>
      <c r="Y22" s="362">
        <f>IF(O22=2,VLOOKUP(2,B21:K22,6,0),"")</f>
        <v>32</v>
      </c>
      <c r="Z22" s="362">
        <f>IF(O22=2,H21,"")</f>
        <v>37</v>
      </c>
      <c r="AA22" s="363">
        <f>IF(O22=2,VLOOKUP(2,B21:K22,8,0),"")</f>
        <v>0.8648648648648649</v>
      </c>
      <c r="AB22" s="362">
        <f>IF(O22=2,VLOOKUP(2,B21:K22,9,0),"")</f>
        <v>4</v>
      </c>
      <c r="AC22" s="364">
        <f>IF(O22=2,VLOOKUP(2,B21:K22,10,0),"")</f>
        <v>0</v>
      </c>
      <c r="AE22" s="143">
        <v>8</v>
      </c>
      <c r="AG22" s="329" t="s">
        <v>217</v>
      </c>
      <c r="AH22" s="330">
        <v>40</v>
      </c>
      <c r="AI22" s="330">
        <v>41</v>
      </c>
      <c r="AJ22" s="330">
        <v>0.975609756097561</v>
      </c>
      <c r="AK22" s="330">
        <v>5</v>
      </c>
      <c r="AL22" s="331">
        <v>2</v>
      </c>
      <c r="AN22" s="143">
        <v>8</v>
      </c>
      <c r="AP22" s="335" t="s">
        <v>225</v>
      </c>
      <c r="AQ22" s="336">
        <v>15</v>
      </c>
      <c r="AR22" s="336">
        <v>25</v>
      </c>
      <c r="AS22" s="336">
        <v>0.6</v>
      </c>
      <c r="AT22" s="336">
        <v>2</v>
      </c>
      <c r="AU22" s="337">
        <v>0</v>
      </c>
    </row>
    <row r="23" spans="2:48" s="90" customFormat="1" ht="10.5" thickTop="1">
      <c r="B23" s="179"/>
      <c r="G23" s="179">
        <f>SUM(G15:G20)</f>
        <v>175</v>
      </c>
      <c r="O23" s="179"/>
      <c r="P23" s="137"/>
      <c r="Q23" s="133"/>
      <c r="R23" s="133"/>
      <c r="S23" s="133"/>
      <c r="T23" s="133"/>
      <c r="U23" s="133"/>
      <c r="V23" s="133"/>
      <c r="W23" s="134"/>
      <c r="X23" s="133"/>
      <c r="Y23" s="133"/>
      <c r="Z23" s="133"/>
      <c r="AA23" s="133"/>
      <c r="AB23" s="133"/>
      <c r="AC23" s="133"/>
      <c r="AD23" s="131"/>
      <c r="AE23" s="141"/>
      <c r="AF23" s="141"/>
      <c r="AM23" s="131"/>
      <c r="AN23" s="141"/>
      <c r="AO23" s="141"/>
      <c r="AV23" s="134"/>
    </row>
    <row r="25" spans="3:12" ht="31.5" customHeight="1" hidden="1">
      <c r="C25" s="660" t="s">
        <v>318</v>
      </c>
      <c r="D25" s="661"/>
      <c r="E25" s="661"/>
      <c r="F25" s="661"/>
      <c r="G25" s="662"/>
      <c r="H25" s="662"/>
      <c r="I25" s="662"/>
      <c r="J25" s="662"/>
      <c r="K25" s="662"/>
      <c r="L25" s="662"/>
    </row>
    <row r="26" spans="5:12" ht="12" hidden="1">
      <c r="E26" s="89" t="s">
        <v>268</v>
      </c>
      <c r="F26" s="89" t="s">
        <v>262</v>
      </c>
      <c r="G26" s="89" t="s">
        <v>263</v>
      </c>
      <c r="H26" s="89" t="s">
        <v>264</v>
      </c>
      <c r="I26" s="89" t="s">
        <v>309</v>
      </c>
      <c r="J26" s="89" t="s">
        <v>266</v>
      </c>
      <c r="K26" s="89" t="s">
        <v>301</v>
      </c>
      <c r="L26" s="89" t="s">
        <v>271</v>
      </c>
    </row>
    <row r="27" spans="2:29" ht="21" customHeight="1" hidden="1" thickTop="1">
      <c r="B27" s="256" t="e">
        <f aca="true" t="shared" si="6" ref="B27:B34">O27</f>
        <v>#VALUE!</v>
      </c>
      <c r="C27" s="659" t="s">
        <v>179</v>
      </c>
      <c r="D27" s="204">
        <v>0.8333333333333334</v>
      </c>
      <c r="E27" s="91"/>
      <c r="F27" s="207" t="e">
        <f>VLOOKUP(E27,'Clasificación 16'!$B$7:$C$22,2,0)</f>
        <v>#N/A</v>
      </c>
      <c r="G27" s="209"/>
      <c r="H27" s="652"/>
      <c r="I27" s="233">
        <f>IF(H27="","",G27/H27)</f>
      </c>
      <c r="J27" s="209"/>
      <c r="K27" s="210">
        <f>IF(H27="","",IF(G27&lt;G28,0,IF(G27&gt;G28,2,1)))</f>
      </c>
      <c r="L27" s="200" t="e">
        <f aca="true" t="shared" si="7" ref="L27:L34">IF(ISERROR(I27),"",O27&amp;"º")</f>
        <v>#VALUE!</v>
      </c>
      <c r="M27" s="237"/>
      <c r="N27" s="112" t="e">
        <f aca="true" t="shared" si="8" ref="N27:N34">IF(ISERROR(I27),"",SUM(K27,I27/1000,J27/1000000))</f>
        <v>#VALUE!</v>
      </c>
      <c r="O27" s="236" t="e">
        <f>IF(ISERROR(I27),"",RANK(N27,N27:N28))</f>
        <v>#VALUE!</v>
      </c>
      <c r="P27" s="238" t="e">
        <f>IF(O27=1,VLOOKUP(1,B27:K28,5,0),"")</f>
        <v>#VALUE!</v>
      </c>
      <c r="Q27" s="138" t="e">
        <f>IF(O27=1,VLOOKUP(1,B27:K28,6,0),"")</f>
        <v>#VALUE!</v>
      </c>
      <c r="R27" s="138" t="e">
        <f>IF(O27=1,H27,"")</f>
        <v>#VALUE!</v>
      </c>
      <c r="S27" s="139" t="e">
        <f>IF(O27=1,VLOOKUP(1,B27:K28,8,0),"")</f>
        <v>#VALUE!</v>
      </c>
      <c r="T27" s="138" t="e">
        <f>IF(O27=1,VLOOKUP(1,B27:K28,9,0),"")</f>
        <v>#VALUE!</v>
      </c>
      <c r="U27" s="138" t="e">
        <f>IF(O27=1,VLOOKUP(1,B27:K28,10,0),"")</f>
        <v>#VALUE!</v>
      </c>
      <c r="X27" s="137" t="e">
        <f>IF(O27=2,VLOOKUP(2,B27:K28,5,0),"")</f>
        <v>#VALUE!</v>
      </c>
      <c r="Y27" s="138" t="e">
        <f>IF(O27=2,VLOOKUP(2,B27:K28,6,0),"")</f>
        <v>#VALUE!</v>
      </c>
      <c r="Z27" s="138" t="e">
        <f>IF(O27=2,H27,"")</f>
        <v>#VALUE!</v>
      </c>
      <c r="AA27" s="139" t="e">
        <f>IF(O27=2,VLOOKUP(2,B27:K28,8,0),"")</f>
        <v>#VALUE!</v>
      </c>
      <c r="AB27" s="138" t="e">
        <f>IF(O27=2,VLOOKUP(2,B27:K28,9,0),"")</f>
        <v>#VALUE!</v>
      </c>
      <c r="AC27" s="138" t="e">
        <f>IF(O27=2,VLOOKUP(2,B27:K28,10,0),"")</f>
        <v>#VALUE!</v>
      </c>
    </row>
    <row r="28" spans="2:29" ht="21" customHeight="1" hidden="1" thickBot="1">
      <c r="B28" s="256" t="e">
        <f t="shared" si="6"/>
        <v>#VALUE!</v>
      </c>
      <c r="C28" s="659"/>
      <c r="D28" s="205" t="s">
        <v>310</v>
      </c>
      <c r="E28" s="102"/>
      <c r="F28" s="208" t="e">
        <f>VLOOKUP(E28,'Clasificación 16'!$B$7:$C$22,2,0)</f>
        <v>#N/A</v>
      </c>
      <c r="G28" s="211"/>
      <c r="H28" s="653"/>
      <c r="I28" s="234">
        <f>IF(H27="","",G28/H27)</f>
      </c>
      <c r="J28" s="211"/>
      <c r="K28" s="212">
        <f>IF(H27="","",IF(G28&lt;G27,0,IF(G28&gt;G27,2,1)))</f>
      </c>
      <c r="L28" s="201" t="e">
        <f t="shared" si="7"/>
        <v>#VALUE!</v>
      </c>
      <c r="M28" s="237"/>
      <c r="N28" s="112" t="e">
        <f t="shared" si="8"/>
        <v>#VALUE!</v>
      </c>
      <c r="O28" s="236" t="e">
        <f>IF(ISERROR(I28),"",RANK(N28,N27:N28))</f>
        <v>#VALUE!</v>
      </c>
      <c r="P28" s="238" t="e">
        <f>IF(O28=1,VLOOKUP(1,B27:K28,5,0),"")</f>
        <v>#VALUE!</v>
      </c>
      <c r="Q28" s="138" t="e">
        <f>IF(O28=1,VLOOKUP(1,B27:K28,6,0),"")</f>
        <v>#VALUE!</v>
      </c>
      <c r="R28" s="138" t="e">
        <f>IF(O28=1,H27,"")</f>
        <v>#VALUE!</v>
      </c>
      <c r="S28" s="139" t="e">
        <f>IF(O28=1,VLOOKUP(1,B27:K28,8,0),"")</f>
        <v>#VALUE!</v>
      </c>
      <c r="T28" s="138" t="e">
        <f>IF(O28=1,VLOOKUP(1,B27:K28,9,0),"")</f>
        <v>#VALUE!</v>
      </c>
      <c r="U28" s="138" t="e">
        <f>IF(O28=1,VLOOKUP(1,B27:K28,10,0),"")</f>
        <v>#VALUE!</v>
      </c>
      <c r="X28" s="238" t="e">
        <f>IF(O28=2,VLOOKUP(2,B27:K28,5,0),"")</f>
        <v>#VALUE!</v>
      </c>
      <c r="Y28" s="138" t="e">
        <f>IF(O28=2,VLOOKUP(2,B27:K28,6,0),"")</f>
        <v>#VALUE!</v>
      </c>
      <c r="Z28" s="138" t="e">
        <f>IF(O28=2,H27,"")</f>
        <v>#VALUE!</v>
      </c>
      <c r="AA28" s="139" t="e">
        <f>IF(O28=2,VLOOKUP(2,B27:K28,8,0),"")</f>
        <v>#VALUE!</v>
      </c>
      <c r="AB28" s="138" t="e">
        <f>IF(O28=2,VLOOKUP(2,B27:K28,9,0),"")</f>
        <v>#VALUE!</v>
      </c>
      <c r="AC28" s="138" t="e">
        <f>IF(O28=2,VLOOKUP(2,B27:K28,10,0),"")</f>
        <v>#VALUE!</v>
      </c>
    </row>
    <row r="29" spans="2:29" ht="21" customHeight="1" hidden="1" thickTop="1">
      <c r="B29" s="256" t="e">
        <f t="shared" si="6"/>
        <v>#VALUE!</v>
      </c>
      <c r="C29" s="659"/>
      <c r="D29" s="204">
        <v>0.8333333333333334</v>
      </c>
      <c r="E29" s="104"/>
      <c r="F29" s="207" t="e">
        <f>VLOOKUP(E29,'Clasificación 16'!$B$7:$C$22,2,0)</f>
        <v>#N/A</v>
      </c>
      <c r="G29" s="209"/>
      <c r="H29" s="652"/>
      <c r="I29" s="233">
        <f>IF(H29="","",G29/H29)</f>
      </c>
      <c r="J29" s="209"/>
      <c r="K29" s="210">
        <f>IF(H29="","",IF(G29&lt;G30,0,IF(G29&gt;G30,2,1)))</f>
      </c>
      <c r="L29" s="200" t="e">
        <f t="shared" si="7"/>
        <v>#VALUE!</v>
      </c>
      <c r="M29" s="237"/>
      <c r="N29" s="112" t="e">
        <f t="shared" si="8"/>
        <v>#VALUE!</v>
      </c>
      <c r="O29" s="236" t="e">
        <f>IF(ISERROR(I29),"",RANK(N29,N29:N30))</f>
        <v>#VALUE!</v>
      </c>
      <c r="P29" s="238" t="e">
        <f>IF(O29=1,VLOOKUP(1,B29:K30,5,0),"")</f>
        <v>#VALUE!</v>
      </c>
      <c r="Q29" s="138" t="e">
        <f>IF(O29=1,VLOOKUP(1,B29:K30,6,0),"")</f>
        <v>#VALUE!</v>
      </c>
      <c r="R29" s="138" t="e">
        <f>IF(O29=1,H29,"")</f>
        <v>#VALUE!</v>
      </c>
      <c r="S29" s="139" t="e">
        <f>IF(O29=1,VLOOKUP(1,B29:K30,8,0),"")</f>
        <v>#VALUE!</v>
      </c>
      <c r="T29" s="138" t="e">
        <f>IF(O29=1,VLOOKUP(1,B29:K30,9,0),"")</f>
        <v>#VALUE!</v>
      </c>
      <c r="U29" s="138" t="e">
        <f>IF(O29=1,VLOOKUP(1,B29:K30,10,0),"")</f>
        <v>#VALUE!</v>
      </c>
      <c r="X29" s="137" t="e">
        <f>IF(O29=2,VLOOKUP(2,B29:K30,5,0),"")</f>
        <v>#VALUE!</v>
      </c>
      <c r="Y29" s="138" t="e">
        <f>IF(O29=2,VLOOKUP(2,B29:K30,6,0),"")</f>
        <v>#VALUE!</v>
      </c>
      <c r="Z29" s="138" t="e">
        <f>IF(O29=2,H29,"")</f>
        <v>#VALUE!</v>
      </c>
      <c r="AA29" s="139" t="e">
        <f>IF(O29=2,VLOOKUP(2,B29:K30,8,0),"")</f>
        <v>#VALUE!</v>
      </c>
      <c r="AB29" s="138" t="e">
        <f>IF(O29=2,VLOOKUP(2,B29:K30,9,0),"")</f>
        <v>#VALUE!</v>
      </c>
      <c r="AC29" s="138" t="e">
        <f>IF(O29=2,VLOOKUP(2,B29:K30,10,0),"")</f>
        <v>#VALUE!</v>
      </c>
    </row>
    <row r="30" spans="2:29" ht="21" customHeight="1" hidden="1" thickBot="1">
      <c r="B30" s="256" t="e">
        <f t="shared" si="6"/>
        <v>#VALUE!</v>
      </c>
      <c r="C30" s="659"/>
      <c r="D30" s="206" t="s">
        <v>306</v>
      </c>
      <c r="E30" s="102"/>
      <c r="F30" s="208" t="e">
        <f>VLOOKUP(E30,'Clasificación 16'!$B$7:$C$22,2,0)</f>
        <v>#N/A</v>
      </c>
      <c r="G30" s="213"/>
      <c r="H30" s="653"/>
      <c r="I30" s="234">
        <f>IF(H29="","",G30/H29)</f>
      </c>
      <c r="J30" s="213"/>
      <c r="K30" s="214">
        <f>IF(H29="","",IF(G30&lt;G29,0,IF(G30&gt;G29,2,1)))</f>
      </c>
      <c r="L30" s="201" t="e">
        <f t="shared" si="7"/>
        <v>#VALUE!</v>
      </c>
      <c r="M30" s="237"/>
      <c r="N30" s="112" t="e">
        <f t="shared" si="8"/>
        <v>#VALUE!</v>
      </c>
      <c r="O30" s="236" t="e">
        <f>IF(ISERROR(I30),"",RANK(N30,N29:N30))</f>
        <v>#VALUE!</v>
      </c>
      <c r="P30" s="238" t="e">
        <f>IF(O30=1,VLOOKUP(1,B29:K30,5,0),"")</f>
        <v>#VALUE!</v>
      </c>
      <c r="Q30" s="138" t="e">
        <f>IF(O30=1,VLOOKUP(1,B29:K30,6,0),"")</f>
        <v>#VALUE!</v>
      </c>
      <c r="R30" s="138" t="e">
        <f>IF(O30=1,H29,"")</f>
        <v>#VALUE!</v>
      </c>
      <c r="S30" s="139" t="e">
        <f>IF(O30=1,VLOOKUP(1,B29:K30,8,0),"")</f>
        <v>#VALUE!</v>
      </c>
      <c r="T30" s="138" t="e">
        <f>IF(O30=1,VLOOKUP(1,B29:K30,9,0),"")</f>
        <v>#VALUE!</v>
      </c>
      <c r="U30" s="138" t="e">
        <f>IF(O30=1,VLOOKUP(1,B29:K30,10,0),"")</f>
        <v>#VALUE!</v>
      </c>
      <c r="X30" s="238" t="e">
        <f>IF(O30=2,VLOOKUP(2,B29:K30,5,0),"")</f>
        <v>#VALUE!</v>
      </c>
      <c r="Y30" s="138" t="e">
        <f>IF(O30=2,VLOOKUP(2,B29:K30,6,0),"")</f>
        <v>#VALUE!</v>
      </c>
      <c r="Z30" s="138" t="e">
        <f>IF(O30=2,H29,"")</f>
        <v>#VALUE!</v>
      </c>
      <c r="AA30" s="139" t="e">
        <f>IF(O30=2,VLOOKUP(2,B29:K30,8,0),"")</f>
        <v>#VALUE!</v>
      </c>
      <c r="AB30" s="138" t="e">
        <f>IF(O30=2,VLOOKUP(2,B29:K30,9,0),"")</f>
        <v>#VALUE!</v>
      </c>
      <c r="AC30" s="138" t="e">
        <f>IF(O30=2,VLOOKUP(2,B29:K30,10,0),"")</f>
        <v>#VALUE!</v>
      </c>
    </row>
    <row r="31" spans="2:29" ht="21" customHeight="1" hidden="1" thickTop="1">
      <c r="B31" s="256" t="e">
        <f t="shared" si="6"/>
        <v>#VALUE!</v>
      </c>
      <c r="C31" s="659"/>
      <c r="D31" s="204">
        <v>0.8333333333333334</v>
      </c>
      <c r="E31" s="91"/>
      <c r="F31" s="207" t="e">
        <f>VLOOKUP(E31,'Clasificación 16'!$B$7:$C$22,2,0)</f>
        <v>#N/A</v>
      </c>
      <c r="G31" s="209"/>
      <c r="H31" s="652"/>
      <c r="I31" s="233">
        <f>IF(H31="","",G31/H31)</f>
      </c>
      <c r="J31" s="209"/>
      <c r="K31" s="210">
        <f>IF(H31="","",IF(G31&lt;G32,0,IF(G31&gt;G32,2,1)))</f>
      </c>
      <c r="L31" s="200" t="e">
        <f t="shared" si="7"/>
        <v>#VALUE!</v>
      </c>
      <c r="M31" s="237"/>
      <c r="N31" s="112" t="e">
        <f t="shared" si="8"/>
        <v>#VALUE!</v>
      </c>
      <c r="O31" s="236" t="e">
        <f>IF(ISERROR(I31),"",RANK(N31,N31:N32))</f>
        <v>#VALUE!</v>
      </c>
      <c r="P31" s="238" t="e">
        <f>IF(O31=1,VLOOKUP(1,B31:K32,5,0),"")</f>
        <v>#VALUE!</v>
      </c>
      <c r="Q31" s="138" t="e">
        <f>IF(O31=1,VLOOKUP(1,B31:K32,6,0),"")</f>
        <v>#VALUE!</v>
      </c>
      <c r="R31" s="138" t="e">
        <f>IF(O31=1,H31,"")</f>
        <v>#VALUE!</v>
      </c>
      <c r="S31" s="139" t="e">
        <f>IF(O31=1,VLOOKUP(1,B31:K32,8,0),"")</f>
        <v>#VALUE!</v>
      </c>
      <c r="T31" s="138" t="e">
        <f>IF(O31=1,VLOOKUP(1,B31:K32,9,0),"")</f>
        <v>#VALUE!</v>
      </c>
      <c r="U31" s="138" t="e">
        <f>IF(O31=1,VLOOKUP(1,B31:K32,10,0),"")</f>
        <v>#VALUE!</v>
      </c>
      <c r="X31" s="137" t="e">
        <f>IF(O31=2,VLOOKUP(2,B31:K32,5,0),"")</f>
        <v>#VALUE!</v>
      </c>
      <c r="Y31" s="138" t="e">
        <f>IF(O31=2,VLOOKUP(2,B31:K32,6,0),"")</f>
        <v>#VALUE!</v>
      </c>
      <c r="Z31" s="138" t="e">
        <f>IF(O31=2,H31,"")</f>
        <v>#VALUE!</v>
      </c>
      <c r="AA31" s="139" t="e">
        <f>IF(O31=2,VLOOKUP(2,B31:K32,8,0),"")</f>
        <v>#VALUE!</v>
      </c>
      <c r="AB31" s="138" t="e">
        <f>IF(O31=2,VLOOKUP(2,B31:K32,9,0),"")</f>
        <v>#VALUE!</v>
      </c>
      <c r="AC31" s="138" t="e">
        <f>IF(O31=2,VLOOKUP(2,B31:K32,10,0),"")</f>
        <v>#VALUE!</v>
      </c>
    </row>
    <row r="32" spans="2:29" ht="21" customHeight="1" hidden="1" thickBot="1">
      <c r="B32" s="256" t="e">
        <f t="shared" si="6"/>
        <v>#VALUE!</v>
      </c>
      <c r="C32" s="659"/>
      <c r="D32" s="206" t="s">
        <v>308</v>
      </c>
      <c r="E32" s="97"/>
      <c r="F32" s="208" t="e">
        <f>VLOOKUP(E32,'Clasificación 16'!$B$7:$C$22,2,0)</f>
        <v>#N/A</v>
      </c>
      <c r="G32" s="211"/>
      <c r="H32" s="653"/>
      <c r="I32" s="234">
        <f>IF(H31="","",G32/H31)</f>
      </c>
      <c r="J32" s="211"/>
      <c r="K32" s="212">
        <f>IF(H31="","",IF(G32&lt;G31,0,IF(G32&gt;G31,2,1)))</f>
      </c>
      <c r="L32" s="201" t="e">
        <f t="shared" si="7"/>
        <v>#VALUE!</v>
      </c>
      <c r="M32" s="237"/>
      <c r="N32" s="112" t="e">
        <f t="shared" si="8"/>
        <v>#VALUE!</v>
      </c>
      <c r="O32" s="236" t="e">
        <f>IF(ISERROR(I32),"",RANK(N32,N31:N32))</f>
        <v>#VALUE!</v>
      </c>
      <c r="P32" s="238" t="e">
        <f>IF(O32=1,VLOOKUP(1,B31:K32,5,0),"")</f>
        <v>#VALUE!</v>
      </c>
      <c r="Q32" s="138" t="e">
        <f>IF(O32=1,VLOOKUP(1,B31:K32,6,0),"")</f>
        <v>#VALUE!</v>
      </c>
      <c r="R32" s="138" t="e">
        <f>IF(O32=1,H31,"")</f>
        <v>#VALUE!</v>
      </c>
      <c r="S32" s="139" t="e">
        <f>IF(O32=1,VLOOKUP(1,B31:K32,8,0),"")</f>
        <v>#VALUE!</v>
      </c>
      <c r="T32" s="138" t="e">
        <f>IF(O32=1,VLOOKUP(1,B31:K32,9,0),"")</f>
        <v>#VALUE!</v>
      </c>
      <c r="U32" s="138" t="e">
        <f>IF(O32=1,VLOOKUP(1,B31:K32,10,0),"")</f>
        <v>#VALUE!</v>
      </c>
      <c r="X32" s="238" t="e">
        <f>IF(O32=2,VLOOKUP(2,B31:K32,5,0),"")</f>
        <v>#VALUE!</v>
      </c>
      <c r="Y32" s="138" t="e">
        <f>IF(O32=2,VLOOKUP(2,B31:K32,6,0),"")</f>
        <v>#VALUE!</v>
      </c>
      <c r="Z32" s="138" t="e">
        <f>IF(O32=2,H31,"")</f>
        <v>#VALUE!</v>
      </c>
      <c r="AA32" s="139" t="e">
        <f>IF(O32=2,VLOOKUP(2,B31:K32,8,0),"")</f>
        <v>#VALUE!</v>
      </c>
      <c r="AB32" s="138" t="e">
        <f>IF(O32=2,VLOOKUP(2,B31:K32,9,0),"")</f>
        <v>#VALUE!</v>
      </c>
      <c r="AC32" s="138" t="e">
        <f>IF(O32=2,VLOOKUP(2,B31:K32,10,0),"")</f>
        <v>#VALUE!</v>
      </c>
    </row>
    <row r="33" spans="2:29" ht="21" customHeight="1" hidden="1" thickTop="1">
      <c r="B33" s="256" t="e">
        <f t="shared" si="6"/>
        <v>#VALUE!</v>
      </c>
      <c r="C33" s="659"/>
      <c r="D33" s="204">
        <v>0.8333333333333334</v>
      </c>
      <c r="E33" s="91"/>
      <c r="F33" s="207" t="e">
        <f>VLOOKUP(E33,'Clasificación 16'!$B$7:$C$22,2,0)</f>
        <v>#N/A</v>
      </c>
      <c r="G33" s="209"/>
      <c r="H33" s="652"/>
      <c r="I33" s="233">
        <f>IF(H33="","",G33/H33)</f>
      </c>
      <c r="J33" s="209"/>
      <c r="K33" s="210">
        <f>IF(H33="","",IF(G33&lt;G34,0,IF(G33&gt;G34,2,1)))</f>
      </c>
      <c r="L33" s="200" t="e">
        <f t="shared" si="7"/>
        <v>#VALUE!</v>
      </c>
      <c r="M33" s="237"/>
      <c r="N33" s="112" t="e">
        <f t="shared" si="8"/>
        <v>#VALUE!</v>
      </c>
      <c r="O33" s="236" t="e">
        <f>IF(ISERROR(I33),"",RANK(N33,N33:N34))</f>
        <v>#VALUE!</v>
      </c>
      <c r="P33" s="238" t="e">
        <f>IF(O33=1,VLOOKUP(1,B33:K34,5,0),"")</f>
        <v>#VALUE!</v>
      </c>
      <c r="Q33" s="138" t="e">
        <f>IF(O33=1,VLOOKUP(1,B33:K34,6,0),"")</f>
        <v>#VALUE!</v>
      </c>
      <c r="R33" s="138" t="e">
        <f>IF(O33=1,H33,"")</f>
        <v>#VALUE!</v>
      </c>
      <c r="S33" s="139" t="e">
        <f>IF(O33=1,VLOOKUP(1,B33:K34,8,0),"")</f>
        <v>#VALUE!</v>
      </c>
      <c r="T33" s="138" t="e">
        <f>IF(O33=1,VLOOKUP(1,B33:K34,9,0),"")</f>
        <v>#VALUE!</v>
      </c>
      <c r="U33" s="138" t="e">
        <f>IF(O33=1,VLOOKUP(1,B33:K34,10,0),"")</f>
        <v>#VALUE!</v>
      </c>
      <c r="X33" s="137" t="e">
        <f>IF(O33=2,VLOOKUP(2,B33:K34,5,0),"")</f>
        <v>#VALUE!</v>
      </c>
      <c r="Y33" s="138" t="e">
        <f>IF(O33=2,VLOOKUP(2,B33:K34,6,0),"")</f>
        <v>#VALUE!</v>
      </c>
      <c r="Z33" s="138" t="e">
        <f>IF(O33=2,H33,"")</f>
        <v>#VALUE!</v>
      </c>
      <c r="AA33" s="139" t="e">
        <f>IF(O33=2,VLOOKUP(2,B33:K34,8,0),"")</f>
        <v>#VALUE!</v>
      </c>
      <c r="AB33" s="138" t="e">
        <f>IF(O33=2,VLOOKUP(2,B33:K34,9,0),"")</f>
        <v>#VALUE!</v>
      </c>
      <c r="AC33" s="138" t="e">
        <f>IF(O33=2,VLOOKUP(2,B33:K34,10,0),"")</f>
        <v>#VALUE!</v>
      </c>
    </row>
    <row r="34" spans="2:29" ht="21" customHeight="1" hidden="1" thickBot="1">
      <c r="B34" s="256" t="e">
        <f t="shared" si="6"/>
        <v>#VALUE!</v>
      </c>
      <c r="C34" s="659"/>
      <c r="D34" s="206" t="s">
        <v>307</v>
      </c>
      <c r="E34" s="102"/>
      <c r="F34" s="208" t="e">
        <f>VLOOKUP(E34,'Clasificación 16'!$B$7:$C$22,2,0)</f>
        <v>#N/A</v>
      </c>
      <c r="G34" s="213"/>
      <c r="H34" s="653"/>
      <c r="I34" s="234">
        <f>IF(H33="","",G34/H33)</f>
      </c>
      <c r="J34" s="213"/>
      <c r="K34" s="214">
        <f>IF(H33="","",IF(G34&lt;G33,0,IF(G34&gt;G33,2,1)))</f>
      </c>
      <c r="L34" s="201" t="e">
        <f t="shared" si="7"/>
        <v>#VALUE!</v>
      </c>
      <c r="M34" s="237"/>
      <c r="N34" s="112" t="e">
        <f t="shared" si="8"/>
        <v>#VALUE!</v>
      </c>
      <c r="O34" s="236" t="e">
        <f>IF(ISERROR(I34),"",RANK(N34,N33:N34))</f>
        <v>#VALUE!</v>
      </c>
      <c r="P34" s="238" t="e">
        <f>IF(O34=1,VLOOKUP(1,B33:K34,5,0),"")</f>
        <v>#VALUE!</v>
      </c>
      <c r="Q34" s="138" t="e">
        <f>IF(O34=1,VLOOKUP(1,B33:K34,6,0),"")</f>
        <v>#VALUE!</v>
      </c>
      <c r="R34" s="138" t="e">
        <f>IF(O34=1,H33,"")</f>
        <v>#VALUE!</v>
      </c>
      <c r="S34" s="139" t="e">
        <f>IF(O34=1,VLOOKUP(1,B33:K34,8,0),"")</f>
        <v>#VALUE!</v>
      </c>
      <c r="T34" s="138" t="e">
        <f>IF(O34=1,VLOOKUP(1,B33:K34,9,0),"")</f>
        <v>#VALUE!</v>
      </c>
      <c r="U34" s="138" t="e">
        <f>IF(O34=1,VLOOKUP(1,B33:K34,10,0),"")</f>
        <v>#VALUE!</v>
      </c>
      <c r="X34" s="238" t="e">
        <f>IF(O34=2,VLOOKUP(2,B33:K34,5,0),"")</f>
        <v>#VALUE!</v>
      </c>
      <c r="Y34" s="138" t="e">
        <f>IF(O34=2,VLOOKUP(2,B33:K34,6,0),"")</f>
        <v>#VALUE!</v>
      </c>
      <c r="Z34" s="138" t="e">
        <f>IF(O34=2,H33,"")</f>
        <v>#VALUE!</v>
      </c>
      <c r="AA34" s="139" t="e">
        <f>IF(O34=2,VLOOKUP(2,B33:K34,8,0),"")</f>
        <v>#VALUE!</v>
      </c>
      <c r="AB34" s="138" t="e">
        <f>IF(O34=2,VLOOKUP(2,B33:K34,9,0),"")</f>
        <v>#VALUE!</v>
      </c>
      <c r="AC34" s="138" t="e">
        <f>IF(O34=2,VLOOKUP(2,B33:K34,10,0),"")</f>
        <v>#VALUE!</v>
      </c>
    </row>
  </sheetData>
  <sheetProtection/>
  <mergeCells count="18">
    <mergeCell ref="C2:L2"/>
    <mergeCell ref="C3:L3"/>
    <mergeCell ref="C15:C22"/>
    <mergeCell ref="C7:C14"/>
    <mergeCell ref="H15:H16"/>
    <mergeCell ref="H17:H18"/>
    <mergeCell ref="H19:H20"/>
    <mergeCell ref="H21:H22"/>
    <mergeCell ref="H7:H8"/>
    <mergeCell ref="H9:H10"/>
    <mergeCell ref="H11:H12"/>
    <mergeCell ref="H13:H14"/>
    <mergeCell ref="C27:C34"/>
    <mergeCell ref="H27:H28"/>
    <mergeCell ref="H29:H30"/>
    <mergeCell ref="H31:H32"/>
    <mergeCell ref="H33:H34"/>
    <mergeCell ref="C25:L25"/>
  </mergeCells>
  <conditionalFormatting sqref="I16 I18 I20 I22 I8 I10 I12 I34 I28 I30 I32 I14">
    <cfRule type="expression" priority="1" dxfId="0" stopIfTrue="1">
      <formula>ISERROR(8ens!I8)</formula>
    </cfRule>
    <cfRule type="cellIs" priority="2" dxfId="2" operator="greaterThan" stopIfTrue="1">
      <formula>8ens!#REF!</formula>
    </cfRule>
  </conditionalFormatting>
  <conditionalFormatting sqref="I15 I17 I19 I21 I7 I9 I11 I13 I27 I29 I31 I33">
    <cfRule type="expression" priority="3" dxfId="0" stopIfTrue="1">
      <formula>ISERROR(8ens!I7)</formula>
    </cfRule>
    <cfRule type="cellIs" priority="4" dxfId="2" operator="greaterThan" stopIfTrue="1">
      <formula>8ens!I8</formula>
    </cfRule>
  </conditionalFormatting>
  <conditionalFormatting sqref="L27:M34 L7:M22">
    <cfRule type="expression" priority="5" dxfId="2" stopIfTrue="1">
      <formula>8ens!O7=1</formula>
    </cfRule>
    <cfRule type="expression" priority="6" dxfId="0" stopIfTrue="1">
      <formula>ISERROR(8ens!L7)</formula>
    </cfRule>
  </conditionalFormatting>
  <conditionalFormatting sqref="F27:F34 F7:F22">
    <cfRule type="expression" priority="7" dxfId="2" stopIfTrue="1">
      <formula>8ens!O7=1</formula>
    </cfRule>
    <cfRule type="cellIs" priority="8" dxfId="0" operator="equal" stopIfTrue="1">
      <formula>0</formula>
    </cfRule>
  </conditionalFormatting>
  <conditionalFormatting sqref="X16:AC16 X18:AC18 X20:AC20 X22:AC22 N27:U34 B27:B34 X28:AC28 X30:AC30 X32:AC32 X34:AC34 B7:B22 X14:AC14 X8:AC8 X10:AC10 X12:AC12 N7:U22">
    <cfRule type="expression" priority="9" dxfId="0" stopIfTrue="1">
      <formula>ISERROR(8ens!B7)</formula>
    </cfRule>
  </conditionalFormatting>
  <printOptions horizontalCentered="1"/>
  <pageMargins left="0.1968503937007874" right="0.1968503937007874" top="0.5905511811023623" bottom="0.1968503937007874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Antonio Montes</cp:lastModifiedBy>
  <cp:lastPrinted>2015-12-08T17:41:20Z</cp:lastPrinted>
  <dcterms:created xsi:type="dcterms:W3CDTF">2015-12-01T09:42:15Z</dcterms:created>
  <dcterms:modified xsi:type="dcterms:W3CDTF">2015-12-09T09:40:55Z</dcterms:modified>
  <cp:category/>
  <cp:version/>
  <cp:contentType/>
  <cp:contentStatus/>
</cp:coreProperties>
</file>